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6" i="1" s="1"/>
  <c r="C45" i="3"/>
  <c r="A107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5" i="1"/>
  <c r="G94" i="1"/>
  <c r="F94" i="1"/>
  <c r="D94" i="1"/>
  <c r="A94" i="1"/>
  <c r="K94" i="1"/>
  <c r="A110" i="1" l="1"/>
  <c r="A114" i="1"/>
  <c r="A116" i="1"/>
  <c r="F110" i="1"/>
  <c r="A112" i="1"/>
  <c r="A117" i="1"/>
  <c r="D110" i="1"/>
  <c r="A113" i="1"/>
  <c r="A122" i="1"/>
  <c r="A118" i="1"/>
  <c r="A119" i="1"/>
  <c r="A123" i="1"/>
  <c r="D118" i="1"/>
  <c r="A120" i="1"/>
  <c r="A125" i="1"/>
  <c r="A111" i="1"/>
  <c r="F118" i="1"/>
  <c r="A121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65" i="1"/>
  <c r="H170" i="1"/>
  <c r="F180" i="1"/>
  <c r="F172" i="1"/>
  <c r="F177" i="1"/>
  <c r="F179" i="1"/>
  <c r="H186" i="1"/>
  <c r="F170" i="1"/>
  <c r="F171" i="1"/>
  <c r="H177" i="1"/>
  <c r="F167" i="1"/>
  <c r="F165" i="1"/>
  <c r="H167" i="1"/>
  <c r="H179" i="1"/>
  <c r="H164" i="1"/>
  <c r="H171" i="1"/>
  <c r="F186" i="1"/>
  <c r="H176" i="1"/>
  <c r="H172" i="1"/>
  <c r="F173" i="1"/>
  <c r="F178" i="1"/>
  <c r="H168" i="1"/>
  <c r="H173" i="1"/>
  <c r="H184" i="1"/>
  <c r="F168" i="1"/>
  <c r="F176" i="1"/>
  <c r="H187" i="1"/>
  <c r="H178" i="1"/>
  <c r="F184" i="1"/>
  <c r="F175" i="1"/>
  <c r="H182" i="1"/>
  <c r="F181" i="1"/>
  <c r="H16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<sst xmlns="http://schemas.openxmlformats.org/spreadsheetml/2006/main" count="566" uniqueCount="212">
  <si>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</si>
  <si>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</si>
  <si>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</si>
  <si>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</si>
  <si>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</si>
  <si>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</si>
  <si>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</si>
  <si>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</si>
  <si>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</si>
  <si>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</si>
  <si>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</si>
  <si>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</si>
  <si>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</si>
  <si>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</si>
  <si>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</si>
  <si>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</si>
  <si>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</si>
  <si>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</si>
  <si>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</si>
  <si>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</si>
  <si>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</si>
  <si>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</si>
  <si>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</si>
  <si>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</si>
  <si>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</si>
  <si>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</si>
  <si>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</si>
  <si>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</si>
  <si>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</si>
  <si>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</si>
  <si>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</si>
  <si>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</si>
  <si>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</si>
  <si>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</si>
  <si>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</si>
  <si>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</si>
  <si>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</si>
  <si>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</si>
  <si>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</si>
  <si>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</si>
  <si>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</si>
  <si>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</si>
  <si>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</si>
  <si>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</si>
  <si>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</si>
  <si>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</si>
  <si>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</si>
  <si>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</si>
  <si>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</si>
  <si>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</si>
  <si>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</si>
  <si>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</si>
  <si>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</si>
  <si>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</si>
  <si>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</si>
  <si>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</si>
  <si>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</si>
  <si>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</si>
  <si>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</si>
  <si>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</si>
  <si>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</si>
  <si>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</si>
  <si>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</si>
  <si>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</si>
  <si>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</si>
  <si>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</si>
  <si>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</si>
  <si>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</si>
  <si>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</si>
  <si>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</si>
  <si>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</si>
  <si>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</si>
  <si>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</si>
  <si>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</si>
  <si>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</si>
  <si>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</si>
  <si>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</si>
  <si>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</si>
  <si>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</si>
  <si>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</si>
  <si>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</si>
  <si>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</si>
  <si>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</si>
  <si>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</si>
  <si>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</si>
  <si>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</si>
  <si>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</si>
  <si>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</si>
  <si>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</si>
  <si>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</si>
  <si>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</si>
  <si>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</si>
  <si>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</si>
  <si>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</si>
  <si>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</si>
  <si>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</si>
  <si>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</si>
  <si>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</si>
  <si>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</si>
  <si>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</si>
  <si>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</si>
  <si>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</si>
  <si>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</si>
  <si>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</si>
  <si>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</si>
  <si>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</si>
  <si>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</si>
  <si>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</si>
  <si>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</si>
  <si>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</si>
  <si>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</si>
  <si>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</si>
  <si>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</si>
  <si>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</si>
  <si>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</si>
  <si>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</si>
  <si>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</si>
  <si>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</si>
  <si>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</si>
  <si>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</si>
  <si>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</si>
  <si>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</si>
  <si>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</si>
  <si>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</si>
  <si>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</si>
  <si>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</si>
  <si>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</si>
  <si>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</si>
  <si>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</si>
  <si>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</si>
  <si>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</si>
  <si>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</si>
  <si>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</si>
  <si>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</si>
  <si>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</si>
  <si>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</si>
  <si>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</si>
  <si>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</si>
  <si>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</si>
  <si>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</si>
  <si>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</si>
  <si>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</si>
  <si>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</si>
  <si>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</si>
  <si>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</si>
  <si>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</si>
  <si>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</si>
  <si>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</si>
  <si>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</si>
  <si>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</si>
  <si>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</si>
  <si>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</si>
  <si>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</si>
  <si>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</si>
  <si>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</si>
  <si>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</si>
  <si>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</si>
  <si>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</si>
  <si>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</si>
  <si>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</si>
  <si>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</si>
  <si>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</si>
  <si>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</si>
  <si>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</si>
  <si>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</si>
  <si>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</si>
  <si>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</si>
  <si>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</si>
  <si>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</si>
  <si>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</si>
  <si>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</si>
  <si>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</si>
  <si>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</si>
  <si>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</si>
  <si>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</si>
  <si>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</si>
  <si>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</si>
  <si>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</si>
  <si>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7</t>
  </si>
  <si>
    <t>Отчет об исполнении договора управления многоквартирного дома 
Румянцева, 7 в части текущего ремонта</t>
  </si>
  <si>
    <t>ежегодно</t>
  </si>
  <si>
    <t>разово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</si>
  <si>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</si>
  <si>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</si>
  <si>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</si>
  <si>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</si>
  <si>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</si>
  <si>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</si>
  <si>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</si>
  <si>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</si>
  <si>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</si>
  <si>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</si>
  <si>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</si>
  <si>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</si>
  <si>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</si>
  <si>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</si>
  <si>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</si>
  <si>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</si>
  <si>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</si>
  <si>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</si>
  <si>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светодиодных светильников в кабине пассажирского лифта (2 шт.).</t>
  </si>
  <si>
    <t>Замена кнопки "Вызывной пост" для пассажирского лифта (2 и 7 этажи).</t>
  </si>
  <si>
    <t>Замена шарового крана в водомерном узле (Ду 100).</t>
  </si>
  <si>
    <t>Приобретение и замена шаровых кранов (Ду 15-2 шт.,65) и манометров (7 шт.).</t>
  </si>
  <si>
    <t>АВР 1/23 от 20.03.2023, Решение</t>
  </si>
  <si>
    <t>АВР 3/23 от 19.05.2023, Решение, счет №3681 от 19.05.2023</t>
  </si>
  <si>
    <t>АВР 4/23 от 25.12.2023, Решение</t>
  </si>
  <si>
    <t>АВР 5/23 от 25.12.2023, Решение</t>
  </si>
  <si>
    <t>АВР 6/23 от 05.07.2023, счет №5080 от 05.07.2023</t>
  </si>
  <si>
    <t>АВР 7/23 от 12.04.2023, счет №53 от 12.04.2023</t>
  </si>
  <si>
    <t>АВР 8/23 от 12.04.2023, счет №53 от 12.04.2023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</si>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</sst>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2" fontId="17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6" fillId="3" borderId="0" xfId="1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/>
    <xf numFmtId="4" fontId="16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0" fontId="8" fillId="0" borderId="0" xfId="10" applyNumberFormat="1" applyFill="1" applyBorder="1" applyAlignment="1">
      <alignment horizontal="center"/>
    </xf>
    <xf numFmtId="4" fontId="8" fillId="0" borderId="0" xfId="10" applyNumberFormat="1" applyFill="1" applyBorder="1" applyAlignment="1"/>
    <xf numFmtId="4" fontId="0" fillId="0" borderId="0" xfId="0" applyNumberFormat="1" applyFill="1"/>
    <xf numFmtId="0" fontId="4" fillId="0" borderId="0" xfId="8" applyFont="1" applyFill="1" applyBorder="1" applyAlignment="1"/>
    <xf numFmtId="0" fontId="4" fillId="0" borderId="0" xfId="9" applyFont="1" applyFill="1" applyBorder="1" applyAlignment="1">
      <alignment horizontal="center"/>
    </xf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center"/>
    </xf>
    <xf numFmtId="0" fontId="10" fillId="0" borderId="0" xfId="5" applyFill="1" applyBorder="1" applyAlignment="1">
      <alignment horizontal="center"/>
    </xf>
    <xf numFmtId="4" fontId="10" fillId="0" borderId="0" xfId="5" applyNumberFormat="1" applyFill="1" applyBorder="1" applyAlignment="1"/>
    <xf numFmtId="0" fontId="8" fillId="0" borderId="0" xfId="6" applyFont="1" applyFill="1" applyBorder="1" applyAlignment="1"/>
    <xf numFmtId="0" fontId="24" fillId="0" borderId="0" xfId="6" applyFont="1" applyFill="1" applyBorder="1" applyAlignment="1">
      <alignment horizontal="center"/>
    </xf>
    <xf numFmtId="4" fontId="24" fillId="0" borderId="0" xfId="6" applyNumberFormat="1" applyFont="1" applyFill="1" applyBorder="1" applyAlignment="1"/>
    <xf numFmtId="0" fontId="2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1" fillId="0" borderId="0" xfId="4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30">
    <cellStyle name="Обычный" xfId="0" builtinId="0"/>
    <cellStyle name="Обычный 2" xfId="1"/>
    <cellStyle name="Обычный 2 2" xfId="3"/>
    <cellStyle name="Обычный 2 3" xfId="7"/>
    <cellStyle name="Обычный 2 3 2" xfId="22"/>
    <cellStyle name="Обычный 2 4" xfId="26"/>
    <cellStyle name="Обычный 2 5" xfId="18"/>
    <cellStyle name="Обычный 2 6" xfId="11"/>
    <cellStyle name="Обычный 3" xfId="2"/>
    <cellStyle name="Обычный 3 2" xfId="8"/>
    <cellStyle name="Обычный 3 2 2" xfId="23"/>
    <cellStyle name="Обычный 3 2 3" xfId="16"/>
    <cellStyle name="Обычный 3 3" xfId="27"/>
    <cellStyle name="Обычный 3 4" xfId="19"/>
    <cellStyle name="Обычный 3 5" xfId="12"/>
    <cellStyle name="Обычный 4" xfId="4"/>
    <cellStyle name="Обычный 4 2" xfId="9"/>
    <cellStyle name="Обычный 4 2 2" xfId="24"/>
    <cellStyle name="Обычный 4 2 3" xfId="17"/>
    <cellStyle name="Обычный 4 3" xfId="28"/>
    <cellStyle name="Обычный 4 4" xfId="20"/>
    <cellStyle name="Обычный 4 5" xfId="13"/>
    <cellStyle name="Обычный 5" xfId="5"/>
    <cellStyle name="Обычный 5 2" xfId="10"/>
    <cellStyle name="Обычный 5 2 2" xfId="25"/>
    <cellStyle name="Обычный 5 3" xfId="6"/>
    <cellStyle name="Обычный 5 3 2" xfId="29"/>
    <cellStyle name="Обычный 5 4" xfId="21"/>
    <cellStyle name="Обычный 5 5" xfId="14"/>
    <cellStyle name="Обычный 6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0" sqref="K8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6" t="s">
        <v>178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9"/>
      <c r="L8" s="167"/>
      <c r="M8" s="109"/>
      <c r="N8" s="109"/>
      <c r="O8" s="70" t="s">
        <v>83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9"/>
      <c r="L9" s="167"/>
      <c r="M9" s="109"/>
      <c r="N9" s="109"/>
      <c r="O9" s="70" t="s">
        <v>84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213214.33</v>
      </c>
      <c r="K10" s="109"/>
      <c r="L10" s="167"/>
      <c r="M10" s="109"/>
      <c r="N10" s="109"/>
      <c r="O10" s="70" t="s">
        <v>85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598719.06999999995</v>
      </c>
      <c r="K11" s="109"/>
      <c r="L11" s="167"/>
      <c r="M11" s="109"/>
      <c r="N11" s="109"/>
      <c r="O11" s="70" t="s">
        <v>86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450915.67</v>
      </c>
      <c r="K12" s="109"/>
      <c r="L12" s="167"/>
      <c r="M12" s="109"/>
      <c r="N12" s="109"/>
      <c r="O12" s="70" t="s">
        <v>87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147803.4</v>
      </c>
      <c r="K13" s="109"/>
      <c r="L13" s="167"/>
      <c r="M13" s="109"/>
      <c r="N13" s="109"/>
      <c r="O13" s="70" t="s">
        <v>88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09"/>
      <c r="L14" s="167"/>
      <c r="M14" s="109"/>
      <c r="N14" s="109"/>
      <c r="O14" s="70" t="s">
        <v>89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640810.93999999994</v>
      </c>
      <c r="K15" s="109"/>
      <c r="L15" s="167"/>
      <c r="M15" s="109"/>
      <c r="N15" s="109"/>
      <c r="O15" s="70" t="s">
        <v>90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640810.93999999994</v>
      </c>
      <c r="K16" s="109"/>
      <c r="L16" s="167"/>
      <c r="M16" s="109"/>
      <c r="N16" s="109"/>
      <c r="O16" s="70" t="s">
        <v>91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9"/>
      <c r="L17" s="167"/>
      <c r="M17" s="109"/>
      <c r="N17" s="109"/>
      <c r="O17" s="70" t="s">
        <v>92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9"/>
      <c r="L18" s="167"/>
      <c r="M18" s="109"/>
      <c r="N18" s="109"/>
      <c r="O18" s="70" t="s">
        <v>93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9"/>
      <c r="L19" s="167"/>
      <c r="M19" s="109"/>
      <c r="N19" s="109"/>
      <c r="O19" s="70" t="s">
        <v>94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9"/>
      <c r="L20" s="167"/>
      <c r="M20" s="109"/>
      <c r="N20" s="109"/>
      <c r="O20" s="70" t="s">
        <v>95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640810.93999999994</v>
      </c>
      <c r="K21" s="109"/>
      <c r="L21" s="167"/>
      <c r="M21" s="109"/>
      <c r="N21" s="109"/>
      <c r="O21" s="70" t="s">
        <v>96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9"/>
      <c r="L22" s="167"/>
      <c r="M22" s="109"/>
      <c r="N22" s="109"/>
      <c r="O22" s="70" t="s">
        <v>97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9"/>
      <c r="L23" s="167"/>
      <c r="M23" s="109"/>
      <c r="N23" s="109"/>
      <c r="O23" s="70" t="s">
        <v>98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171122.45999999996</v>
      </c>
      <c r="K24" s="109"/>
      <c r="L24" s="167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6">
        <f>VLOOKUP(A28,ПТО!$A$39:$D$53,2,FALSE)</f>
        <v>132770.4</v>
      </c>
      <c r="G28" s="156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6">
        <f>VLOOKUP(A29,ПТО!$A$39:$D$53,2,FALSE)</f>
        <v>54091.68</v>
      </c>
      <c r="G29" s="156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9"/>
      <c r="L29" s="16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6">
        <f>VLOOKUP(A30,ПТО!$A$39:$D$53,2,FALSE)</f>
        <v>42945.48</v>
      </c>
      <c r="G30" s="156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9"/>
      <c r="L30" s="16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6">
        <f>VLOOKUP(A31,ПТО!$A$39:$D$53,2,FALSE)</f>
        <v>39339.360000000001</v>
      </c>
      <c r="G31" s="156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9"/>
      <c r="L32" s="16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6">
        <f>VLOOKUP(A33,ПТО!$A$39:$D$53,2,FALSE)</f>
        <v>13113.12</v>
      </c>
      <c r="G33" s="156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6">
        <f>VLOOKUP(A34,ПТО!$A$39:$D$53,2,FALSE)</f>
        <v>54747.24</v>
      </c>
      <c r="G34" s="156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1"/>
      <c r="C35" s="151"/>
      <c r="D35" s="151"/>
      <c r="E35" s="151"/>
      <c r="F35" s="156">
        <f>VLOOKUP(A35,ПТО!$A$39:$D$53,2,FALSE)</f>
        <v>130803.36</v>
      </c>
      <c r="G35" s="156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09"/>
      <c r="L35" s="168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9"/>
      <c r="L36" s="168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9"/>
      <c r="L37" s="16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9"/>
      <c r="L38" s="16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9"/>
      <c r="L39" s="16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9"/>
      <c r="L40" s="16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9"/>
      <c r="L41" s="16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9"/>
      <c r="L42" s="16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освидетельствование лифта.</v>
      </c>
      <c r="B43" s="151"/>
      <c r="C43" s="151"/>
      <c r="D43" s="151"/>
      <c r="E43" s="151"/>
      <c r="F43" s="156">
        <f>VLOOKUP(A43,ПТО!$A$2:$D$31,4,FALSE)</f>
        <v>4100</v>
      </c>
      <c r="G43" s="156"/>
      <c r="H43" s="19" t="str">
        <f>VLOOKUP(A43,ПТО!$A$2:$D$31,2,FALSE)</f>
        <v>ежегодно</v>
      </c>
      <c r="I43" s="152">
        <f>VLOOKUP(A43,ПТО!$A$2:$D$31,3,FALSE)</f>
        <v>1</v>
      </c>
      <c r="J43" s="152"/>
      <c r="K43" s="109"/>
      <c r="L43" s="168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1" t="str">
        <f>ПТО!A3</f>
        <v>Техническое обслуживание охранной сигнализации.</v>
      </c>
      <c r="B44" s="151"/>
      <c r="C44" s="151"/>
      <c r="D44" s="151"/>
      <c r="E44" s="151"/>
      <c r="F44" s="156">
        <f>VLOOKUP(A44,ПТО!$A$2:$D$31,4,FALSE)</f>
        <v>4000</v>
      </c>
      <c r="G44" s="156"/>
      <c r="H44" s="25" t="str">
        <f>VLOOKUP(A44,ПТО!$A$2:$D$31,2,FALSE)</f>
        <v>ежемесячно</v>
      </c>
      <c r="I44" s="152">
        <f>VLOOKUP(A44,ПТО!$A$2:$D$31,3,FALSE)</f>
        <v>12</v>
      </c>
      <c r="J44" s="152"/>
      <c r="K44" s="109"/>
      <c r="L44" s="16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1" t="str">
        <f>ПТО!A4</f>
        <v>Механизированная уборка и вывоз снега с придомовой территории.</v>
      </c>
      <c r="B45" s="151"/>
      <c r="C45" s="151"/>
      <c r="D45" s="151"/>
      <c r="E45" s="151"/>
      <c r="F45" s="156">
        <f>VLOOKUP(A45,ПТО!$A$2:$D$31,4,FALSE)</f>
        <v>7000</v>
      </c>
      <c r="G45" s="156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9"/>
      <c r="L45" s="168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1" t="str">
        <f>ПТО!A5</f>
        <v>Замена шарового крана в водомерном узле (Ду 100).</v>
      </c>
      <c r="B46" s="151"/>
      <c r="C46" s="151"/>
      <c r="D46" s="151"/>
      <c r="E46" s="151"/>
      <c r="F46" s="156">
        <f>VLOOKUP(A46,ПТО!$A$2:$D$31,4,FALSE)</f>
        <v>1397</v>
      </c>
      <c r="G46" s="156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09"/>
      <c r="L46" s="168"/>
      <c r="M46" s="115"/>
      <c r="N46" s="109"/>
      <c r="O46" s="23" t="str">
        <f t="shared" si="1"/>
        <v>Замена шарового крана в водомерном узле (Ду 100).</v>
      </c>
      <c r="R46" s="22" t="s">
        <v>72</v>
      </c>
    </row>
    <row r="47" spans="1:18" ht="51" customHeight="1" outlineLevel="1">
      <c r="A47" s="151" t="str">
        <f>ПТО!A6</f>
        <v>Приобретение и замена шаровых кранов (Ду 15-2 шт.,65) и манометров (7 шт.).</v>
      </c>
      <c r="B47" s="151"/>
      <c r="C47" s="151"/>
      <c r="D47" s="151"/>
      <c r="E47" s="151"/>
      <c r="F47" s="156">
        <f>VLOOKUP(A47,ПТО!$A$2:$D$31,4,FALSE)</f>
        <v>2053.13</v>
      </c>
      <c r="G47" s="156"/>
      <c r="H47" s="25" t="str">
        <f>VLOOKUP(A47,ПТО!$A$2:$D$31,2,FALSE)</f>
        <v>разово</v>
      </c>
      <c r="I47" s="152">
        <f>VLOOKUP(A47,ПТО!$A$2:$D$31,3,FALSE)</f>
        <v>1</v>
      </c>
      <c r="J47" s="152"/>
      <c r="K47" s="109"/>
      <c r="L47" s="168"/>
      <c r="M47" s="115"/>
      <c r="N47" s="109"/>
      <c r="O47" s="23" t="str">
        <f t="shared" si="1"/>
        <v>Приобретение и замена шаровых кранов (Ду 15-2 шт.,65) и манометров (7 шт.).</v>
      </c>
      <c r="R47" s="22" t="s">
        <v>72</v>
      </c>
    </row>
    <row r="48" spans="1:18" ht="51" customHeight="1" outlineLevel="1">
      <c r="A48" s="151" t="str">
        <f>ПТО!A7</f>
        <v>Замена светодиодных светильников в кабине пассажирского лифта (2 шт.).</v>
      </c>
      <c r="B48" s="151"/>
      <c r="C48" s="151"/>
      <c r="D48" s="151"/>
      <c r="E48" s="151"/>
      <c r="F48" s="156">
        <f>VLOOKUP(A48,ПТО!$A$2:$D$31,4,FALSE)</f>
        <v>1960</v>
      </c>
      <c r="G48" s="156"/>
      <c r="H48" s="25" t="str">
        <f>VLOOKUP(A48,ПТО!$A$2:$D$31,2,FALSE)</f>
        <v>разово</v>
      </c>
      <c r="I48" s="152">
        <f>VLOOKUP(A48,ПТО!$A$2:$D$31,3,FALSE)</f>
        <v>1</v>
      </c>
      <c r="J48" s="152"/>
      <c r="K48" s="109"/>
      <c r="L48" s="168"/>
      <c r="M48" s="115"/>
      <c r="N48" s="109"/>
      <c r="O48" s="23" t="str">
        <f t="shared" si="1"/>
        <v>Замена светодиодных светильников в кабине пассажирского лифта (2 шт.).</v>
      </c>
      <c r="R48" s="22" t="s">
        <v>72</v>
      </c>
    </row>
    <row r="49" spans="1:18" ht="51" customHeight="1" outlineLevel="1">
      <c r="A49" s="151" t="str">
        <f>ПТО!A8</f>
        <v>Замена кнопки "Вызывной пост" для пассажирского лифта (2 и 7 этажи).</v>
      </c>
      <c r="B49" s="151"/>
      <c r="C49" s="151"/>
      <c r="D49" s="151"/>
      <c r="E49" s="151"/>
      <c r="F49" s="156">
        <f>VLOOKUP(A49,ПТО!$A$2:$D$31,4,FALSE)</f>
        <v>3500</v>
      </c>
      <c r="G49" s="156"/>
      <c r="H49" s="25" t="str">
        <f>VLOOKUP(A49,ПТО!$A$2:$D$31,2,FALSE)</f>
        <v>разово</v>
      </c>
      <c r="I49" s="152">
        <f>VLOOKUP(A49,ПТО!$A$2:$D$31,3,FALSE)</f>
        <v>1</v>
      </c>
      <c r="J49" s="152"/>
      <c r="K49" s="109"/>
      <c r="L49" s="168"/>
      <c r="M49" s="115"/>
      <c r="N49" s="109"/>
      <c r="O49" s="23" t="str">
        <f t="shared" si="1"/>
        <v>Замена кнопки "Вызывной пост" для пассажирского лифта (2 и 7 этажи).</v>
      </c>
      <c r="R49" s="22" t="s">
        <v>72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6" t="e">
        <f>VLOOKUP(A50,ПТО!$A$2:$D$31,4,FALSE)</f>
        <v>#N/A</v>
      </c>
      <c r="G50" s="156"/>
      <c r="H50" s="25" t="e">
        <f>VLOOKUP(A50,ПТО!$A$2:$D$31,2,FALSE)</f>
        <v>#N/A</v>
      </c>
      <c r="I50" s="152" t="e">
        <f>VLOOKUP(A50,ПТО!$A$2:$D$31,3,FALSE)</f>
        <v>#N/A</v>
      </c>
      <c r="J50" s="152"/>
      <c r="K50" s="109"/>
      <c r="L50" s="168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6" t="e">
        <f>VLOOKUP(A51,ПТО!$A$2:$D$31,4,FALSE)</f>
        <v>#N/A</v>
      </c>
      <c r="G51" s="156"/>
      <c r="H51" s="25" t="e">
        <f>VLOOKUP(A51,ПТО!$A$2:$D$31,2,FALSE)</f>
        <v>#N/A</v>
      </c>
      <c r="I51" s="152" t="e">
        <f>VLOOKUP(A51,ПТО!$A$2:$D$31,3,FALSE)</f>
        <v>#N/A</v>
      </c>
      <c r="J51" s="152"/>
      <c r="K51" s="109"/>
      <c r="L51" s="168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9"/>
      <c r="L52" s="168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9"/>
      <c r="L53" s="168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9"/>
      <c r="L54" s="168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9"/>
      <c r="L55" s="168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9"/>
      <c r="L56" s="168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9"/>
      <c r="L57" s="16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9"/>
      <c r="L58" s="16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9"/>
      <c r="L59" s="16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9"/>
      <c r="L60" s="16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9"/>
      <c r="L61" s="16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9"/>
      <c r="L62" s="16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9"/>
      <c r="L63" s="16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9"/>
      <c r="L64" s="16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9"/>
      <c r="L65" s="16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9"/>
      <c r="L66" s="16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9"/>
      <c r="L67" s="16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9"/>
      <c r="L68" s="16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9"/>
      <c r="L69" s="16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9"/>
      <c r="L70" s="16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5"/>
      <c r="L71" s="16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9"/>
      <c r="L72" s="16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71"/>
      <c r="M75" s="109"/>
      <c r="N75" s="109"/>
      <c r="O75" s="70" t="s">
        <v>100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71"/>
      <c r="M76" s="109"/>
      <c r="N76" s="109"/>
      <c r="O76" s="70" t="s">
        <v>101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71"/>
      <c r="M77" s="109"/>
      <c r="N77" s="109"/>
      <c r="O77" s="70" t="s">
        <v>102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71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7">
        <f t="shared" ref="J81:J90" si="2">VLOOKUP(O81,АО,3,FALSE)</f>
        <v>0</v>
      </c>
      <c r="K81" s="109"/>
      <c r="L81" s="157"/>
      <c r="M81" s="109"/>
      <c r="N81" s="109"/>
      <c r="O81" s="70" t="s">
        <v>104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7">
        <f t="shared" si="2"/>
        <v>0</v>
      </c>
      <c r="K82" s="109"/>
      <c r="L82" s="157"/>
      <c r="M82" s="109"/>
      <c r="N82" s="109"/>
      <c r="O82" s="70" t="s">
        <v>105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51619.73</v>
      </c>
      <c r="K83" s="109"/>
      <c r="L83" s="157"/>
      <c r="M83" s="109"/>
      <c r="N83" s="109"/>
      <c r="O83" s="70" t="s">
        <v>106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09"/>
      <c r="L84" s="157"/>
      <c r="M84" s="109"/>
      <c r="N84" s="109"/>
      <c r="O84" s="70" t="s">
        <v>107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09"/>
      <c r="L85" s="157"/>
      <c r="M85" s="109"/>
      <c r="N85" s="109"/>
      <c r="O85" s="70" t="s">
        <v>108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51221.63</v>
      </c>
      <c r="K86" s="109"/>
      <c r="L86" s="157"/>
      <c r="M86" s="109"/>
      <c r="N86" s="109"/>
      <c r="O86" s="70" t="s">
        <v>109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09"/>
      <c r="L87" s="157"/>
      <c r="M87" s="109"/>
      <c r="N87" s="109"/>
      <c r="O87" s="70" t="s">
        <v>110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09"/>
      <c r="L88" s="157"/>
      <c r="M88" s="109"/>
      <c r="N88" s="109"/>
      <c r="O88" s="70" t="s">
        <v>111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09"/>
      <c r="L89" s="157"/>
      <c r="M89" s="109"/>
      <c r="N89" s="109"/>
      <c r="O89" s="70" t="s">
        <v>112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09"/>
      <c r="L90" s="157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2" t="s">
        <v>48</v>
      </c>
      <c r="B93" s="172"/>
      <c r="C93" s="172"/>
      <c r="D93" s="173" t="s">
        <v>49</v>
      </c>
      <c r="E93" s="173"/>
      <c r="F93" s="10" t="s">
        <v>50</v>
      </c>
      <c r="G93" s="172" t="s">
        <v>51</v>
      </c>
      <c r="H93" s="172"/>
      <c r="I93" s="172"/>
      <c r="J93" s="172"/>
      <c r="K93" s="109"/>
      <c r="L93" s="109"/>
      <c r="M93" s="109"/>
      <c r="N93" s="109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5">
        <f>VLOOKUP("эл",АО,5,FALSE)</f>
        <v>186655.44</v>
      </c>
      <c r="H94" s="154"/>
      <c r="I94" s="154"/>
      <c r="J94" s="154"/>
      <c r="K94" s="1" t="str">
        <f>VLOOKUP("эл",АО,2,FALSE)</f>
        <v>Электроснабжение</v>
      </c>
      <c r="L94" s="158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137246.65</v>
      </c>
      <c r="L95" s="158"/>
      <c r="O95" s="1" t="s">
        <v>114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187843.09</v>
      </c>
      <c r="L96" s="158"/>
      <c r="O96" s="1" t="s">
        <v>115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0</v>
      </c>
      <c r="L97" s="158"/>
      <c r="O97" s="1" t="s">
        <v>116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186655.44</v>
      </c>
      <c r="L98" s="158"/>
      <c r="O98" s="1" t="s">
        <v>117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186655.44</v>
      </c>
      <c r="L99" s="158"/>
      <c r="O99" s="1" t="s">
        <v>118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58"/>
      <c r="O100" s="1" t="s">
        <v>119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58"/>
      <c r="O101" s="1" t="s">
        <v>120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5">
        <f>VLOOKUP("хвс",АО,5,FALSE)</f>
        <v>87667.9</v>
      </c>
      <c r="H102" s="154"/>
      <c r="I102" s="154"/>
      <c r="J102" s="154"/>
      <c r="L102" s="158"/>
    </row>
    <row r="103" spans="1:15" outlineLevel="2">
      <c r="A103" s="170" t="str">
        <f t="shared" ref="A103:A109" si="4">IF(VLOOKUP("хвс",АО,3,FALSE)&gt;0,VLOOKUP(O103,АО,2,FALSE),0)</f>
        <v>Общий объем потребления, нат. показ.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6017.01</v>
      </c>
      <c r="L103" s="158"/>
      <c r="O103" s="1" t="s">
        <v>123</v>
      </c>
    </row>
    <row r="104" spans="1:15" ht="18.75" customHeight="1" outlineLevel="2">
      <c r="A104" s="170" t="str">
        <f t="shared" si="4"/>
        <v>Оплачено потребителями, руб.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87779.14</v>
      </c>
      <c r="L104" s="158"/>
      <c r="O104" s="1" t="s">
        <v>124</v>
      </c>
    </row>
    <row r="105" spans="1:15" ht="18.75" customHeight="1" outlineLevel="2">
      <c r="A105" s="170" t="str">
        <f t="shared" si="4"/>
        <v>Задолженность потребителей, руб.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0</v>
      </c>
      <c r="L105" s="158"/>
      <c r="O105" s="1" t="s">
        <v>125</v>
      </c>
    </row>
    <row r="106" spans="1:15" ht="36.75" customHeight="1" outlineLevel="2">
      <c r="A106" s="170" t="str">
        <f t="shared" si="4"/>
        <v>Начислено поставщиком (поставщиками) коммунального ресурса, руб.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87667.9</v>
      </c>
      <c r="L106" s="158"/>
      <c r="O106" s="1" t="s">
        <v>126</v>
      </c>
    </row>
    <row r="107" spans="1:15" ht="18.75" customHeight="1" outlineLevel="2">
      <c r="A107" s="170" t="str">
        <f t="shared" si="4"/>
        <v>Оплачено поставщику (поставщикам) коммунального ресурса, руб.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87667.9</v>
      </c>
      <c r="L107" s="158"/>
      <c r="O107" s="1" t="s">
        <v>127</v>
      </c>
    </row>
    <row r="108" spans="1:15" ht="37.5" customHeight="1" outlineLevel="2">
      <c r="A108" s="170" t="str">
        <f t="shared" si="4"/>
        <v>Задолженность перед поставщиком (поставщиками) коммунального ресурса, руб.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58"/>
      <c r="O108" s="1" t="s">
        <v>128</v>
      </c>
    </row>
    <row r="109" spans="1:15" ht="39.75" customHeight="1" outlineLevel="2">
      <c r="A109" s="170" t="str">
        <f t="shared" si="4"/>
        <v>Размер пени и штрафов, уплаченных поставщику (поставщикам) коммунального ресурса, руб.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58"/>
      <c r="O109" s="1" t="s">
        <v>129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5">
        <f>VLOOKUP("воо",АО,5,FALSE)</f>
        <v>106598.86</v>
      </c>
      <c r="H110" s="154"/>
      <c r="I110" s="154"/>
      <c r="J110" s="154"/>
      <c r="L110" s="158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6019.13</v>
      </c>
      <c r="L111" s="158"/>
      <c r="O111" s="1" t="s">
        <v>131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105591.38</v>
      </c>
      <c r="L112" s="158"/>
      <c r="O112" s="1" t="s">
        <v>132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1007.4799999999959</v>
      </c>
      <c r="L113" s="158"/>
      <c r="O113" s="1" t="s">
        <v>133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106598.86</v>
      </c>
      <c r="L114" s="158"/>
      <c r="O114" s="1" t="s">
        <v>134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106598.86</v>
      </c>
      <c r="L115" s="158"/>
      <c r="O115" s="1" t="s">
        <v>135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58"/>
      <c r="O116" s="1" t="s">
        <v>136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58"/>
      <c r="O117" s="1" t="s">
        <v>137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4" t="str">
        <f>IF(VLOOKUP("тко",АО,3,FALSE)&gt;0,VLOOKUP("тко",АО,3,FALSE),0)</f>
        <v>Предоставляется</v>
      </c>
      <c r="E118" s="154"/>
      <c r="F118" s="13" t="str">
        <f>IF(VLOOKUP("тко",АО,3,FALSE)&gt;0,VLOOKUP("тко",АО,4,FALSE),0)</f>
        <v>куб.м.</v>
      </c>
      <c r="G118" s="155">
        <f>VLOOKUP("тко",АО,5,FALSE)</f>
        <v>100998.6</v>
      </c>
      <c r="H118" s="154"/>
      <c r="I118" s="154"/>
      <c r="J118" s="154"/>
      <c r="L118" s="47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186.9</v>
      </c>
      <c r="L119" s="47"/>
      <c r="O119" s="1" t="s">
        <v>139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101105.29</v>
      </c>
      <c r="L120" s="47"/>
      <c r="O120" s="1" t="s">
        <v>140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100998.6</v>
      </c>
      <c r="L122" s="47"/>
      <c r="O122" s="1" t="s">
        <v>142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100998.6</v>
      </c>
      <c r="L123" s="47"/>
      <c r="O123" s="1" t="s">
        <v>143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5">
        <f>VLOOKUP("гвс",АО,5,FALSE)</f>
        <v>0</v>
      </c>
      <c r="H126" s="154"/>
      <c r="I126" s="154"/>
      <c r="J126" s="154"/>
      <c r="L126" s="47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4"/>
      <c r="I134" s="154"/>
      <c r="J134" s="154"/>
      <c r="L134" s="47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171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49" t="s">
        <v>174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173</v>
      </c>
    </row>
    <row r="149" spans="1:15" ht="52.5" customHeight="1">
      <c r="A149" s="174" t="s">
        <v>179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6" t="s">
        <v>199</v>
      </c>
      <c r="B154" s="176"/>
      <c r="C154" s="176"/>
      <c r="D154" s="176"/>
      <c r="E154" s="27">
        <f>ПТО!G1</f>
        <v>-58133.86</v>
      </c>
    </row>
    <row r="155" spans="1:15" ht="34.5" customHeight="1">
      <c r="A155" s="175" t="s">
        <v>198</v>
      </c>
      <c r="B155" s="175"/>
      <c r="C155" s="175"/>
      <c r="D155" s="175"/>
      <c r="E155" s="28">
        <f>J13</f>
        <v>147803.4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1" t="str">
        <f t="shared" ref="A158:A163" si="14">IF(N158&gt;0,N158,0)</f>
        <v>Техническое освидетельствование лифта.</v>
      </c>
      <c r="B158" s="151"/>
      <c r="C158" s="151"/>
      <c r="D158" s="151"/>
      <c r="E158" s="151"/>
      <c r="F158" s="156">
        <f t="shared" ref="F158:F163" si="15">IF(ISERROR(VLOOKUP(A158,$A$28:$J$72,6,FALSE)),0,VLOOKUP(A158,$A$28:$J$72,6,FALSE))</f>
        <v>4100</v>
      </c>
      <c r="G158" s="156"/>
      <c r="H158" s="24" t="str">
        <f t="shared" ref="H158:H187" si="16">VLOOKUP(A158,$A$28:$J$72,8,FALSE)</f>
        <v>ежегодно</v>
      </c>
      <c r="I158" s="152">
        <f t="shared" ref="I158:I161" si="17">VLOOKUP(A158,$A$28:$J$72,9,FALSE)</f>
        <v>1</v>
      </c>
      <c r="J158" s="152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1" t="str">
        <f t="shared" si="14"/>
        <v>Техническое обслуживание охранной сигнализации.</v>
      </c>
      <c r="B159" s="151"/>
      <c r="C159" s="151"/>
      <c r="D159" s="151"/>
      <c r="E159" s="151"/>
      <c r="F159" s="156">
        <f t="shared" si="15"/>
        <v>4000</v>
      </c>
      <c r="G159" s="156"/>
      <c r="H159" s="24" t="str">
        <f t="shared" si="16"/>
        <v>ежемесячно</v>
      </c>
      <c r="I159" s="152">
        <f t="shared" si="17"/>
        <v>12</v>
      </c>
      <c r="J159" s="152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1" t="str">
        <f t="shared" si="14"/>
        <v>Механизированная уборка и вывоз снега с придомовой территории.</v>
      </c>
      <c r="B160" s="151"/>
      <c r="C160" s="151"/>
      <c r="D160" s="151"/>
      <c r="E160" s="151"/>
      <c r="F160" s="156">
        <f t="shared" si="15"/>
        <v>7000</v>
      </c>
      <c r="G160" s="156"/>
      <c r="H160" s="24" t="str">
        <f t="shared" si="16"/>
        <v>разово</v>
      </c>
      <c r="I160" s="152">
        <f t="shared" si="17"/>
        <v>1</v>
      </c>
      <c r="J160" s="152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1" t="str">
        <f>IF(N161&gt;0,N161,0)</f>
        <v>Замена шарового крана в водомерном узле (Ду 100).</v>
      </c>
      <c r="B161" s="151"/>
      <c r="C161" s="151"/>
      <c r="D161" s="151"/>
      <c r="E161" s="151"/>
      <c r="F161" s="156">
        <f t="shared" si="15"/>
        <v>1397</v>
      </c>
      <c r="G161" s="156"/>
      <c r="H161" s="24" t="str">
        <f t="shared" si="16"/>
        <v>разово</v>
      </c>
      <c r="I161" s="152">
        <f t="shared" si="17"/>
        <v>1</v>
      </c>
      <c r="J161" s="152"/>
      <c r="M161" s="22" t="s">
        <v>72</v>
      </c>
      <c r="N161" s="1" t="str">
        <v>Замена шарового крана в водомерном узле (Ду 100).</v>
      </c>
    </row>
    <row r="162" spans="1:14" ht="28.5" customHeight="1">
      <c r="A162" s="151" t="str">
        <f t="shared" si="14"/>
        <v>Приобретение и замена шаровых кранов (Ду 15-2 шт.,65) и манометров (7 шт.).</v>
      </c>
      <c r="B162" s="151"/>
      <c r="C162" s="151"/>
      <c r="D162" s="151"/>
      <c r="E162" s="151"/>
      <c r="F162" s="156">
        <f t="shared" si="15"/>
        <v>2053.13</v>
      </c>
      <c r="G162" s="156"/>
      <c r="H162" s="24" t="str">
        <f t="shared" si="16"/>
        <v>разово</v>
      </c>
      <c r="I162" s="152">
        <f>VLOOKUP(A162,$A$28:$J$72,9,FALSE)</f>
        <v>1</v>
      </c>
      <c r="J162" s="152"/>
      <c r="M162" s="22" t="s">
        <v>72</v>
      </c>
      <c r="N162" s="1" t="str">
        <v>Приобретение и замена шаровых кранов (Ду 15-2 шт.,65) и манометров (7 шт.).</v>
      </c>
    </row>
    <row r="163" spans="1:14" ht="28.5" customHeight="1">
      <c r="A163" s="151" t="str">
        <f t="shared" si="14"/>
        <v>Замена светодиодных светильников в кабине пассажирского лифта (2 шт.).</v>
      </c>
      <c r="B163" s="151"/>
      <c r="C163" s="151"/>
      <c r="D163" s="151"/>
      <c r="E163" s="151"/>
      <c r="F163" s="156">
        <f t="shared" si="15"/>
        <v>1960</v>
      </c>
      <c r="G163" s="156"/>
      <c r="H163" s="24" t="str">
        <f t="shared" si="16"/>
        <v>разово</v>
      </c>
      <c r="I163" s="152">
        <f>VLOOKUP(A163,$A$28:$J$72,9,FALSE)</f>
        <v>1</v>
      </c>
      <c r="J163" s="152"/>
      <c r="M163" s="22" t="s">
        <v>72</v>
      </c>
      <c r="N163" s="1" t="str">
        <v>Замена светодиодных светильников в кабине пассажирского лифта (2 шт.).</v>
      </c>
    </row>
    <row r="164" spans="1:14" ht="28.5" customHeight="1">
      <c r="A164" s="151" t="str">
        <f t="shared" ref="A164:A187" si="18">IF(N164&gt;0,N164,0)</f>
        <v>Замена кнопки "Вызывной пост" для пассажирского лифта (2 и 7 этажи).</v>
      </c>
      <c r="B164" s="151"/>
      <c r="C164" s="151"/>
      <c r="D164" s="151"/>
      <c r="E164" s="151"/>
      <c r="F164" s="156">
        <f t="shared" ref="F164:F187" si="19">IF(ISERROR(VLOOKUP(A164,$A$28:$J$72,6,FALSE)),0,VLOOKUP(A164,$A$28:$J$72,6,FALSE))</f>
        <v>3500</v>
      </c>
      <c r="G164" s="156"/>
      <c r="H164" s="29" t="str">
        <f t="shared" si="16"/>
        <v>разово</v>
      </c>
      <c r="I164" s="152">
        <f t="shared" ref="I164:I187" si="20">VLOOKUP(A164,$A$28:$J$72,9,FALSE)</f>
        <v>1</v>
      </c>
      <c r="J164" s="152"/>
      <c r="M164" s="22" t="s">
        <v>72</v>
      </c>
      <c r="N164" s="1" t="str">
        <v>Замена кнопки "Вызывной пост" для пассажирского лифта (2 и 7 этажи).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6">
        <f t="shared" si="19"/>
        <v>0</v>
      </c>
      <c r="G165" s="156"/>
      <c r="H165" s="29" t="e">
        <f t="shared" si="16"/>
        <v>#N/A</v>
      </c>
      <c r="I165" s="152" t="e">
        <f t="shared" si="20"/>
        <v>#N/A</v>
      </c>
      <c r="J165" s="152"/>
      <c r="M165" s="22" t="s">
        <v>72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6">
        <f t="shared" si="19"/>
        <v>0</v>
      </c>
      <c r="G166" s="156"/>
      <c r="H166" s="29" t="e">
        <f t="shared" si="16"/>
        <v>#N/A</v>
      </c>
      <c r="I166" s="152" t="e">
        <f t="shared" si="20"/>
        <v>#N/A</v>
      </c>
      <c r="J166" s="152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6">
        <f t="shared" si="19"/>
        <v>0</v>
      </c>
      <c r="G167" s="156"/>
      <c r="H167" s="29" t="e">
        <f t="shared" si="16"/>
        <v>#N/A</v>
      </c>
      <c r="I167" s="152" t="e">
        <f t="shared" si="20"/>
        <v>#N/A</v>
      </c>
      <c r="J167" s="152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6">
        <f t="shared" si="19"/>
        <v>0</v>
      </c>
      <c r="G168" s="156"/>
      <c r="H168" s="29" t="e">
        <f t="shared" si="16"/>
        <v>#N/A</v>
      </c>
      <c r="I168" s="152" t="e">
        <f t="shared" si="20"/>
        <v>#N/A</v>
      </c>
      <c r="J168" s="152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6">
        <f t="shared" si="19"/>
        <v>0</v>
      </c>
      <c r="G169" s="156"/>
      <c r="H169" s="29" t="e">
        <f t="shared" si="16"/>
        <v>#N/A</v>
      </c>
      <c r="I169" s="152" t="e">
        <f t="shared" si="20"/>
        <v>#N/A</v>
      </c>
      <c r="J169" s="152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6">
        <f t="shared" si="19"/>
        <v>0</v>
      </c>
      <c r="G170" s="156"/>
      <c r="H170" s="29" t="e">
        <f t="shared" si="16"/>
        <v>#N/A</v>
      </c>
      <c r="I170" s="152" t="e">
        <f t="shared" si="20"/>
        <v>#N/A</v>
      </c>
      <c r="J170" s="152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6">
        <f t="shared" si="19"/>
        <v>0</v>
      </c>
      <c r="G171" s="156"/>
      <c r="H171" s="29" t="e">
        <f t="shared" si="16"/>
        <v>#N/A</v>
      </c>
      <c r="I171" s="152" t="e">
        <f t="shared" si="20"/>
        <v>#N/A</v>
      </c>
      <c r="J171" s="152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6">
        <f t="shared" si="19"/>
        <v>0</v>
      </c>
      <c r="G172" s="156"/>
      <c r="H172" s="29" t="e">
        <f t="shared" si="16"/>
        <v>#N/A</v>
      </c>
      <c r="I172" s="152" t="e">
        <f t="shared" si="20"/>
        <v>#N/A</v>
      </c>
      <c r="J172" s="152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6">
        <f t="shared" si="19"/>
        <v>0</v>
      </c>
      <c r="G173" s="156"/>
      <c r="H173" s="29" t="e">
        <f t="shared" si="16"/>
        <v>#N/A</v>
      </c>
      <c r="I173" s="152" t="e">
        <f t="shared" si="20"/>
        <v>#N/A</v>
      </c>
      <c r="J173" s="152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6">
        <f t="shared" si="19"/>
        <v>0</v>
      </c>
      <c r="G174" s="156"/>
      <c r="H174" s="29" t="e">
        <f t="shared" si="16"/>
        <v>#N/A</v>
      </c>
      <c r="I174" s="152" t="e">
        <f t="shared" si="20"/>
        <v>#N/A</v>
      </c>
      <c r="J174" s="152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6">
        <f t="shared" si="19"/>
        <v>0</v>
      </c>
      <c r="G175" s="156"/>
      <c r="H175" s="29" t="e">
        <f t="shared" si="16"/>
        <v>#N/A</v>
      </c>
      <c r="I175" s="152" t="e">
        <f t="shared" si="20"/>
        <v>#N/A</v>
      </c>
      <c r="J175" s="152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6">
        <f t="shared" si="19"/>
        <v>0</v>
      </c>
      <c r="G176" s="156"/>
      <c r="H176" s="29" t="e">
        <f t="shared" si="16"/>
        <v>#N/A</v>
      </c>
      <c r="I176" s="152" t="e">
        <f t="shared" si="20"/>
        <v>#N/A</v>
      </c>
      <c r="J176" s="152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6">
        <f t="shared" si="19"/>
        <v>0</v>
      </c>
      <c r="G177" s="156"/>
      <c r="H177" s="29" t="e">
        <f t="shared" si="16"/>
        <v>#N/A</v>
      </c>
      <c r="I177" s="152" t="e">
        <f t="shared" si="20"/>
        <v>#N/A</v>
      </c>
      <c r="J177" s="152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6">
        <f t="shared" si="19"/>
        <v>0</v>
      </c>
      <c r="G178" s="156"/>
      <c r="H178" s="29" t="e">
        <f t="shared" si="16"/>
        <v>#N/A</v>
      </c>
      <c r="I178" s="152" t="e">
        <f t="shared" si="20"/>
        <v>#N/A</v>
      </c>
      <c r="J178" s="152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6">
        <f t="shared" si="19"/>
        <v>0</v>
      </c>
      <c r="G179" s="156"/>
      <c r="H179" s="29" t="e">
        <f t="shared" si="16"/>
        <v>#N/A</v>
      </c>
      <c r="I179" s="152" t="e">
        <f t="shared" si="20"/>
        <v>#N/A</v>
      </c>
      <c r="J179" s="152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6">
        <f t="shared" si="19"/>
        <v>0</v>
      </c>
      <c r="G180" s="156"/>
      <c r="H180" s="29" t="e">
        <f t="shared" si="16"/>
        <v>#N/A</v>
      </c>
      <c r="I180" s="152" t="e">
        <f t="shared" si="20"/>
        <v>#N/A</v>
      </c>
      <c r="J180" s="152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6">
        <f t="shared" si="19"/>
        <v>0</v>
      </c>
      <c r="G181" s="156"/>
      <c r="H181" s="29" t="e">
        <f t="shared" si="16"/>
        <v>#N/A</v>
      </c>
      <c r="I181" s="152" t="e">
        <f t="shared" si="20"/>
        <v>#N/A</v>
      </c>
      <c r="J181" s="152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6">
        <f t="shared" si="19"/>
        <v>0</v>
      </c>
      <c r="G182" s="156"/>
      <c r="H182" s="29" t="e">
        <f t="shared" si="16"/>
        <v>#N/A</v>
      </c>
      <c r="I182" s="152" t="e">
        <f t="shared" si="20"/>
        <v>#N/A</v>
      </c>
      <c r="J182" s="152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6">
        <f t="shared" si="19"/>
        <v>0</v>
      </c>
      <c r="G183" s="156"/>
      <c r="H183" s="29" t="e">
        <f t="shared" si="16"/>
        <v>#N/A</v>
      </c>
      <c r="I183" s="152" t="e">
        <f t="shared" si="20"/>
        <v>#N/A</v>
      </c>
      <c r="J183" s="152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6">
        <f t="shared" si="19"/>
        <v>0</v>
      </c>
      <c r="G184" s="156"/>
      <c r="H184" s="29" t="e">
        <f t="shared" si="16"/>
        <v>#N/A</v>
      </c>
      <c r="I184" s="152" t="e">
        <f t="shared" si="20"/>
        <v>#N/A</v>
      </c>
      <c r="J184" s="152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6">
        <f t="shared" si="19"/>
        <v>0</v>
      </c>
      <c r="G185" s="156"/>
      <c r="H185" s="29" t="e">
        <f t="shared" si="16"/>
        <v>#N/A</v>
      </c>
      <c r="I185" s="152" t="e">
        <f t="shared" si="20"/>
        <v>#N/A</v>
      </c>
      <c r="J185" s="152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6">
        <f t="shared" si="19"/>
        <v>0</v>
      </c>
      <c r="G186" s="156"/>
      <c r="H186" s="29" t="e">
        <f t="shared" si="16"/>
        <v>#N/A</v>
      </c>
      <c r="I186" s="152" t="e">
        <f t="shared" si="20"/>
        <v>#N/A</v>
      </c>
      <c r="J186" s="152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6">
        <f t="shared" si="19"/>
        <v>0</v>
      </c>
      <c r="G187" s="156"/>
      <c r="H187" s="29" t="e">
        <f t="shared" si="16"/>
        <v>#N/A</v>
      </c>
      <c r="I187" s="152" t="e">
        <f t="shared" si="20"/>
        <v>#N/A</v>
      </c>
      <c r="J187" s="152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6" t="s">
        <v>197</v>
      </c>
      <c r="B190" s="176"/>
      <c r="C190" s="176"/>
      <c r="D190" s="176"/>
      <c r="E190" s="27">
        <f>SUM(F158:G187)</f>
        <v>24010.13</v>
      </c>
    </row>
    <row r="191" spans="1:14" ht="51.75" customHeight="1">
      <c r="A191" s="176" t="s">
        <v>196</v>
      </c>
      <c r="B191" s="176"/>
      <c r="C191" s="176"/>
      <c r="D191" s="176"/>
      <c r="E191" s="27">
        <f>E190+E154-E155</f>
        <v>-181927.13</v>
      </c>
    </row>
    <row r="192" spans="1:14">
      <c r="A192" s="104" t="s">
        <v>175</v>
      </c>
    </row>
    <row r="193" spans="1:10" ht="62.25" customHeight="1">
      <c r="A193" s="150" t="s">
        <v>195</v>
      </c>
      <c r="B193" s="150"/>
      <c r="C193" s="150"/>
      <c r="D193" s="150"/>
      <c r="E193" s="150"/>
      <c r="F193" s="150"/>
      <c r="G193" s="150"/>
      <c r="H193" s="150"/>
      <c r="I193" s="150"/>
      <c r="J193" s="150"/>
    </row>
    <row r="194" spans="1:10">
      <c r="A194" s="148" t="str">
        <f>ПТО!F12</f>
        <v xml:space="preserve">  -  поверка (замена) манометров и термометров</v>
      </c>
      <c r="B194" s="148"/>
      <c r="C194" s="148"/>
      <c r="D194" s="148"/>
      <c r="E194" s="148"/>
      <c r="F194" s="148"/>
      <c r="G194" s="148"/>
      <c r="H194" s="49">
        <f>ПТО!G12</f>
        <v>1200</v>
      </c>
      <c r="I194" s="50" t="s">
        <v>75</v>
      </c>
    </row>
    <row r="195" spans="1:10" ht="18.75" customHeight="1">
      <c r="A195" s="148" t="str">
        <f>ПТО!F13</f>
        <v xml:space="preserve">  -  техническое освидетельствование лифта</v>
      </c>
      <c r="B195" s="148"/>
      <c r="C195" s="148"/>
      <c r="D195" s="148"/>
      <c r="E195" s="148"/>
      <c r="F195" s="148"/>
      <c r="G195" s="148"/>
      <c r="H195" s="49">
        <f>ПТО!G13</f>
        <v>4100</v>
      </c>
      <c r="I195" s="50" t="s">
        <v>75</v>
      </c>
    </row>
    <row r="196" spans="1:10" ht="18.75" customHeight="1">
      <c r="A196" s="148" t="str">
        <f>ПТО!F14</f>
        <v xml:space="preserve">  -  техническое обслуживание охранной сигнализации</v>
      </c>
      <c r="B196" s="148"/>
      <c r="C196" s="148"/>
      <c r="D196" s="148"/>
      <c r="E196" s="148"/>
      <c r="F196" s="148"/>
      <c r="G196" s="148"/>
      <c r="H196" s="49">
        <f>ПТО!G14</f>
        <v>4000</v>
      </c>
      <c r="I196" s="50" t="s">
        <v>75</v>
      </c>
    </row>
    <row r="197" spans="1:10" ht="18.75" customHeight="1">
      <c r="A197" s="148" t="str">
        <f>ПТО!F15</f>
        <v xml:space="preserve">  -  благоустройство придомовой территории</v>
      </c>
      <c r="B197" s="148"/>
      <c r="C197" s="148"/>
      <c r="D197" s="148"/>
      <c r="E197" s="148"/>
      <c r="F197" s="148"/>
      <c r="G197" s="148"/>
      <c r="H197" s="49">
        <f>ПТО!G15</f>
        <v>7000</v>
      </c>
      <c r="I197" s="50" t="s">
        <v>75</v>
      </c>
    </row>
    <row r="198" spans="1:10" ht="18.75" customHeight="1">
      <c r="A198" s="148" t="str">
        <f>ПТО!F16</f>
        <v xml:space="preserve">  -  ремонт подъезда</v>
      </c>
      <c r="B198" s="148"/>
      <c r="C198" s="148"/>
      <c r="D198" s="148"/>
      <c r="E198" s="148"/>
      <c r="F198" s="148"/>
      <c r="G198" s="148"/>
      <c r="H198" s="49">
        <f>ПТО!G16</f>
        <v>350000</v>
      </c>
      <c r="I198" s="52" t="s">
        <v>75</v>
      </c>
    </row>
    <row r="199" spans="1:10" ht="18.75" hidden="1" customHeight="1">
      <c r="A199" s="148">
        <f>ПТО!F17</f>
        <v>0</v>
      </c>
      <c r="B199" s="148"/>
      <c r="C199" s="148"/>
      <c r="D199" s="148"/>
      <c r="E199" s="148"/>
      <c r="F199" s="148"/>
      <c r="G199" s="148"/>
      <c r="H199" s="49">
        <f>ПТО!G17</f>
        <v>0</v>
      </c>
      <c r="I199" s="50" t="s">
        <v>75</v>
      </c>
    </row>
    <row r="200" spans="1:10" hidden="1">
      <c r="A200" s="148">
        <f>ПТО!F18</f>
        <v>0</v>
      </c>
      <c r="B200" s="148"/>
      <c r="C200" s="148"/>
      <c r="D200" s="148"/>
      <c r="E200" s="148"/>
      <c r="F200" s="148"/>
      <c r="G200" s="148"/>
      <c r="H200" s="49">
        <f>ПТО!G18</f>
        <v>0</v>
      </c>
      <c r="I200" s="50" t="s">
        <v>75</v>
      </c>
    </row>
    <row r="201" spans="1:10" hidden="1">
      <c r="A201" s="148">
        <f>ПТО!F19</f>
        <v>0</v>
      </c>
      <c r="B201" s="148"/>
      <c r="C201" s="148"/>
      <c r="D201" s="148"/>
      <c r="E201" s="148"/>
      <c r="F201" s="148"/>
      <c r="G201" s="148"/>
      <c r="H201" s="49">
        <f>ПТО!G19</f>
        <v>0</v>
      </c>
      <c r="I201" s="50" t="s">
        <v>75</v>
      </c>
    </row>
    <row r="202" spans="1:10" hidden="1">
      <c r="A202" s="148">
        <f>ПТО!F20</f>
        <v>0</v>
      </c>
      <c r="B202" s="148"/>
      <c r="C202" s="148"/>
      <c r="D202" s="148"/>
      <c r="E202" s="148"/>
      <c r="F202" s="148"/>
      <c r="G202" s="148"/>
      <c r="H202" s="49">
        <f>ПТО!G20</f>
        <v>0</v>
      </c>
      <c r="I202" s="50" t="s">
        <v>75</v>
      </c>
    </row>
    <row r="203" spans="1:10" hidden="1">
      <c r="A203" s="148">
        <f>ПТО!F21</f>
        <v>0</v>
      </c>
      <c r="B203" s="148"/>
      <c r="C203" s="148"/>
      <c r="D203" s="148"/>
      <c r="E203" s="148"/>
      <c r="F203" s="148"/>
      <c r="G203" s="148"/>
      <c r="H203" s="49">
        <f>ПТО!G21</f>
        <v>0</v>
      </c>
      <c r="I203" s="50" t="s">
        <v>75</v>
      </c>
    </row>
    <row r="204" spans="1:10" hidden="1">
      <c r="A204" s="148">
        <f>ПТО!F22</f>
        <v>0</v>
      </c>
      <c r="B204" s="148"/>
      <c r="C204" s="148"/>
      <c r="D204" s="148"/>
      <c r="E204" s="148"/>
      <c r="F204" s="148"/>
      <c r="G204" s="148"/>
      <c r="H204" s="49">
        <f>ПТО!G22</f>
        <v>0</v>
      </c>
      <c r="I204" s="50" t="s">
        <v>75</v>
      </c>
    </row>
    <row r="205" spans="1:10" hidden="1">
      <c r="A205" s="148">
        <f>ПТО!F23</f>
        <v>0</v>
      </c>
      <c r="B205" s="148"/>
      <c r="C205" s="148"/>
      <c r="D205" s="148"/>
      <c r="E205" s="148"/>
      <c r="F205" s="148"/>
      <c r="G205" s="148"/>
      <c r="H205" s="49">
        <f>ПТО!G23</f>
        <v>0</v>
      </c>
      <c r="I205" s="50" t="s">
        <v>75</v>
      </c>
    </row>
    <row r="206" spans="1:10" hidden="1">
      <c r="A206" s="148">
        <f>ПТО!F24</f>
        <v>0</v>
      </c>
      <c r="B206" s="148"/>
      <c r="C206" s="148"/>
      <c r="D206" s="148"/>
      <c r="E206" s="148"/>
      <c r="F206" s="148"/>
      <c r="G206" s="148"/>
      <c r="H206" s="49">
        <f>ПТО!G24</f>
        <v>0</v>
      </c>
      <c r="I206" s="50" t="s">
        <v>75</v>
      </c>
    </row>
    <row r="207" spans="1:10" hidden="1">
      <c r="A207" s="148">
        <f>ПТО!F25</f>
        <v>0</v>
      </c>
      <c r="B207" s="148"/>
      <c r="C207" s="148"/>
      <c r="D207" s="148"/>
      <c r="E207" s="148"/>
      <c r="F207" s="148"/>
      <c r="G207" s="148"/>
      <c r="H207" s="49">
        <f>ПТО!G25</f>
        <v>0</v>
      </c>
      <c r="I207" s="50" t="s">
        <v>75</v>
      </c>
    </row>
    <row r="208" spans="1:10" hidden="1">
      <c r="A208" s="148">
        <f>ПТО!F26</f>
        <v>0</v>
      </c>
      <c r="B208" s="148"/>
      <c r="C208" s="148"/>
      <c r="D208" s="148"/>
      <c r="E208" s="148"/>
      <c r="F208" s="148"/>
      <c r="G208" s="148"/>
      <c r="H208" s="49">
        <f>ПТО!G26</f>
        <v>0</v>
      </c>
      <c r="I208" s="50" t="s">
        <v>75</v>
      </c>
    </row>
    <row r="209" spans="1:9" hidden="1">
      <c r="A209" s="148">
        <f>ПТО!F27</f>
        <v>0</v>
      </c>
      <c r="B209" s="148"/>
      <c r="C209" s="148"/>
      <c r="D209" s="148"/>
      <c r="E209" s="148"/>
      <c r="F209" s="148"/>
      <c r="G209" s="148"/>
      <c r="H209" s="49">
        <f>ПТО!G27</f>
        <v>0</v>
      </c>
      <c r="I209" s="50" t="s">
        <v>75</v>
      </c>
    </row>
    <row r="210" spans="1:9" hidden="1">
      <c r="A210" s="148">
        <f>ПТО!F28</f>
        <v>0</v>
      </c>
      <c r="B210" s="148"/>
      <c r="C210" s="148"/>
      <c r="D210" s="148"/>
      <c r="E210" s="148"/>
      <c r="F210" s="148"/>
      <c r="G210" s="148"/>
      <c r="H210" s="49">
        <f>ПТО!G28</f>
        <v>0</v>
      </c>
      <c r="I210" s="50" t="s">
        <v>75</v>
      </c>
    </row>
    <row r="211" spans="1:9" hidden="1">
      <c r="A211" s="148">
        <f>ПТО!F29</f>
        <v>0</v>
      </c>
      <c r="B211" s="148"/>
      <c r="C211" s="148"/>
      <c r="D211" s="148"/>
      <c r="E211" s="148"/>
      <c r="F211" s="148"/>
      <c r="G211" s="148"/>
      <c r="H211" s="49">
        <f>ПТО!G29</f>
        <v>0</v>
      </c>
      <c r="I211" s="50" t="s">
        <v>75</v>
      </c>
    </row>
    <row r="212" spans="1:9" hidden="1">
      <c r="A212" s="148">
        <f>ПТО!F30</f>
        <v>0</v>
      </c>
      <c r="B212" s="148"/>
      <c r="C212" s="148"/>
      <c r="D212" s="148"/>
      <c r="E212" s="148"/>
      <c r="F212" s="148"/>
      <c r="G212" s="148"/>
      <c r="H212" s="49">
        <f>ПТО!G30</f>
        <v>0</v>
      </c>
      <c r="I212" s="50" t="s">
        <v>75</v>
      </c>
    </row>
    <row r="213" spans="1:9" hidden="1">
      <c r="A213" s="148">
        <f>ПТО!F31</f>
        <v>0</v>
      </c>
      <c r="B213" s="148"/>
      <c r="C213" s="148"/>
      <c r="D213" s="148"/>
      <c r="E213" s="148"/>
      <c r="F213" s="148"/>
      <c r="G213" s="148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366300</v>
      </c>
      <c r="I214" s="56" t="s">
        <v>78</v>
      </c>
    </row>
  </sheetData>
  <sheetProtection algorithmName="SHA-512" hashValue="5jb/6Gy0zTifjvkErs/A/b4uTP2JyW5F8h34wv9DW45duyfeYh3Dsan5SepudzOLDd59eVda52NmAYe+kSof9w==" saltValue="ZmibZ7EPoXtWgydEsIgzJ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1" sqref="B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199</v>
      </c>
      <c r="G1" s="101">
        <f>-58133.86</f>
        <v>-58133.86</v>
      </c>
    </row>
    <row r="2" spans="1:12" ht="18.75" customHeight="1">
      <c r="A2" s="132" t="s">
        <v>73</v>
      </c>
      <c r="B2" s="133" t="s">
        <v>180</v>
      </c>
      <c r="C2" s="134">
        <v>1</v>
      </c>
      <c r="D2" s="135">
        <v>4100</v>
      </c>
      <c r="E2" s="119" t="s">
        <v>206</v>
      </c>
      <c r="F2" s="32"/>
      <c r="G2" s="32"/>
      <c r="L2" s="33" t="str">
        <f t="shared" ref="L2:L22" si="0">IF(A2&gt;0,"ТР",0)</f>
        <v>ТР</v>
      </c>
    </row>
    <row r="3" spans="1:12" ht="27.75" customHeight="1">
      <c r="A3" s="136" t="s">
        <v>186</v>
      </c>
      <c r="B3" s="137" t="s">
        <v>184</v>
      </c>
      <c r="C3" s="137">
        <v>12</v>
      </c>
      <c r="D3" s="138">
        <v>4000</v>
      </c>
      <c r="E3" s="119" t="s">
        <v>207</v>
      </c>
      <c r="F3" s="30"/>
      <c r="G3" s="30"/>
      <c r="L3" s="33" t="str">
        <f t="shared" si="0"/>
        <v>ТР</v>
      </c>
    </row>
    <row r="4" spans="1:12" ht="30.75" customHeight="1">
      <c r="A4" s="125" t="s">
        <v>194</v>
      </c>
      <c r="B4" s="126" t="s">
        <v>181</v>
      </c>
      <c r="C4" s="127">
        <v>1</v>
      </c>
      <c r="D4" s="128">
        <v>7000</v>
      </c>
      <c r="E4" s="129" t="s">
        <v>204</v>
      </c>
      <c r="F4" s="30"/>
      <c r="G4" s="30"/>
      <c r="L4" s="33" t="str">
        <f t="shared" si="0"/>
        <v>ТР</v>
      </c>
    </row>
    <row r="5" spans="1:12" ht="32.25" customHeight="1">
      <c r="A5" s="130" t="s">
        <v>202</v>
      </c>
      <c r="B5" s="131" t="s">
        <v>181</v>
      </c>
      <c r="C5" s="118">
        <v>1</v>
      </c>
      <c r="D5" s="123">
        <v>1397</v>
      </c>
      <c r="E5" s="119" t="s">
        <v>205</v>
      </c>
      <c r="F5" s="44"/>
      <c r="G5" s="44"/>
      <c r="K5" s="46"/>
      <c r="L5" s="33" t="str">
        <f t="shared" si="0"/>
        <v>ТР</v>
      </c>
    </row>
    <row r="6" spans="1:12" ht="43.5" customHeight="1">
      <c r="A6" s="139" t="s">
        <v>203</v>
      </c>
      <c r="B6" s="140" t="s">
        <v>181</v>
      </c>
      <c r="C6" s="134">
        <v>1</v>
      </c>
      <c r="D6" s="135">
        <f>1040.6+1012.53</f>
        <v>2053.13</v>
      </c>
      <c r="E6" s="129" t="s">
        <v>208</v>
      </c>
      <c r="F6" s="44"/>
      <c r="G6" s="44"/>
      <c r="K6" s="46"/>
      <c r="L6" s="33" t="str">
        <f t="shared" si="0"/>
        <v>ТР</v>
      </c>
    </row>
    <row r="7" spans="1:12" ht="18.75" customHeight="1">
      <c r="A7" s="141" t="s">
        <v>200</v>
      </c>
      <c r="B7" s="142" t="s">
        <v>181</v>
      </c>
      <c r="C7" s="143">
        <v>1</v>
      </c>
      <c r="D7" s="43">
        <v>1960</v>
      </c>
      <c r="E7" s="144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201</v>
      </c>
      <c r="B8" s="146" t="s">
        <v>181</v>
      </c>
      <c r="C8" s="118">
        <v>1</v>
      </c>
      <c r="D8" s="147">
        <v>3500</v>
      </c>
      <c r="E8" s="144" t="s">
        <v>210</v>
      </c>
      <c r="F8" s="45"/>
      <c r="G8" s="45"/>
      <c r="K8" s="43"/>
      <c r="L8" s="33" t="str">
        <f t="shared" si="0"/>
        <v>ТР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195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185</v>
      </c>
      <c r="G14" s="113">
        <v>4000</v>
      </c>
      <c r="L14" s="33">
        <f t="shared" si="0"/>
        <v>0</v>
      </c>
    </row>
    <row r="15" spans="1:12" ht="31.5">
      <c r="A15" s="30"/>
      <c r="F15" s="117" t="s">
        <v>183</v>
      </c>
      <c r="G15" s="113">
        <v>7000</v>
      </c>
      <c r="L15" s="33">
        <f t="shared" si="0"/>
        <v>0</v>
      </c>
    </row>
    <row r="16" spans="1:12" ht="15.75">
      <c r="A16" s="30"/>
      <c r="F16" s="112" t="s">
        <v>211</v>
      </c>
      <c r="G16" s="113">
        <v>350000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7"/>
      <c r="G18" s="113"/>
      <c r="L18" s="33">
        <f t="shared" si="0"/>
        <v>0</v>
      </c>
    </row>
    <row r="19" spans="1:12" ht="15.75">
      <c r="A19" s="30"/>
      <c r="F19" s="112"/>
      <c r="G19" s="113"/>
      <c r="L19" s="33">
        <f t="shared" si="0"/>
        <v>0</v>
      </c>
    </row>
    <row r="20" spans="1:12" ht="15.75">
      <c r="A20" s="30"/>
      <c r="F20" s="112"/>
      <c r="G20" s="11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132770.4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132770.4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54091.68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54091.68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42945.48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42945.48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39339.360000000001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39339.360000000001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13113.12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13113.12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54747.24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54747.24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130803.36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130803.36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0"/>
      <c r="C47" s="121"/>
      <c r="D47" s="48"/>
      <c r="E47" s="120">
        <v>692.4</v>
      </c>
      <c r="F47" s="120">
        <v>342.6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2" t="s">
        <v>187</v>
      </c>
      <c r="F52" s="122" t="s">
        <v>188</v>
      </c>
      <c r="G52" s="122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2">
        <v>35.896999999999998</v>
      </c>
      <c r="F53" s="120">
        <v>2780.6</v>
      </c>
      <c r="G53" s="122">
        <v>3.48</v>
      </c>
      <c r="H53" s="122">
        <f>G53*E47/F53</f>
        <v>0.86655829677048124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2"/>
      <c r="F54" s="122" t="s">
        <v>190</v>
      </c>
      <c r="G54" s="122" t="s">
        <v>191</v>
      </c>
      <c r="H54" s="122">
        <f>H53*46.8</f>
        <v>40.55492828885852</v>
      </c>
    </row>
    <row r="55" spans="5:16">
      <c r="E55" s="122"/>
      <c r="F55" s="122">
        <v>1.17</v>
      </c>
      <c r="G55" s="122">
        <v>1.23</v>
      </c>
      <c r="H55" s="122"/>
    </row>
    <row r="56" spans="5:16">
      <c r="E56" s="122"/>
      <c r="F56" s="122"/>
      <c r="G56" s="122"/>
      <c r="H56" s="122"/>
    </row>
    <row r="57" spans="5:16">
      <c r="E57" s="122"/>
      <c r="F57" s="122"/>
      <c r="G57" s="122"/>
      <c r="H57" s="122"/>
    </row>
    <row r="58" spans="5:16">
      <c r="E58" s="122" t="s">
        <v>192</v>
      </c>
      <c r="F58" s="122"/>
      <c r="G58" s="122"/>
      <c r="H58" s="122"/>
    </row>
    <row r="59" spans="5:16">
      <c r="E59" s="122">
        <v>0.59599999999999997</v>
      </c>
      <c r="F59" s="120">
        <v>2780.6</v>
      </c>
      <c r="G59" s="122">
        <v>7.4999999999999997E-2</v>
      </c>
      <c r="H59" s="122">
        <f>G59*F47</f>
        <v>25.695</v>
      </c>
    </row>
    <row r="60" spans="5:16">
      <c r="E60" s="122"/>
      <c r="F60" s="122" t="s">
        <v>190</v>
      </c>
      <c r="G60" s="122" t="s">
        <v>191</v>
      </c>
      <c r="H60" s="122">
        <f>H59/F59</f>
        <v>9.2408113356829465E-3</v>
      </c>
    </row>
    <row r="61" spans="5:16">
      <c r="E61" s="122"/>
      <c r="F61" s="122">
        <v>12.94</v>
      </c>
      <c r="G61" s="122">
        <v>13.45</v>
      </c>
      <c r="H61" s="122">
        <f>H60*46.8</f>
        <v>0.43246997050996189</v>
      </c>
    </row>
    <row r="62" spans="5:16">
      <c r="E62" s="122" t="s">
        <v>193</v>
      </c>
      <c r="F62" s="122"/>
      <c r="G62" s="122"/>
      <c r="H62" s="122"/>
    </row>
    <row r="63" spans="5:16">
      <c r="E63" s="122">
        <v>0.59599999999999997</v>
      </c>
      <c r="F63" s="120">
        <v>2780.6</v>
      </c>
      <c r="G63" s="122">
        <v>7.4999999999999997E-2</v>
      </c>
      <c r="H63" s="122">
        <f>G63*F47</f>
        <v>25.695</v>
      </c>
    </row>
    <row r="64" spans="5:16">
      <c r="E64" s="122"/>
      <c r="F64" s="122" t="s">
        <v>190</v>
      </c>
      <c r="G64" s="122" t="s">
        <v>191</v>
      </c>
      <c r="H64" s="122">
        <f>H63/F63</f>
        <v>9.2408113356829465E-3</v>
      </c>
    </row>
    <row r="65" spans="4:13" ht="18.75" customHeight="1">
      <c r="E65" s="122"/>
      <c r="F65" s="122">
        <v>15.73</v>
      </c>
      <c r="G65" s="122">
        <v>16.350000000000001</v>
      </c>
      <c r="H65" s="122">
        <f>H64*46.8</f>
        <v>0.43246997050996189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znBWQFs459n82Ie2faDY+r5anLC0ZaUCrVJDcn6b6s90vezuXZE72oy+RzOwQFcb1UnGA7G4AQTdTOwD78Bxg==" saltValue="NzJh1c4WipJILjivarG4s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3.710937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2737.1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213214.33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598719.06999999995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450915.67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147803.4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640810.93999999994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640810.93999999994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640810.93999999994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171122.45999999996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106</v>
      </c>
      <c r="B27" s="75" t="s">
        <v>4</v>
      </c>
      <c r="C27" s="86">
        <v>51619.73</v>
      </c>
      <c r="D27" s="81" t="s">
        <v>60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109</v>
      </c>
      <c r="B30" s="75" t="s">
        <v>18</v>
      </c>
      <c r="C30" s="86">
        <v>51221.63</v>
      </c>
      <c r="D30" s="81" t="s">
        <v>66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186655.44</v>
      </c>
      <c r="F37" s="94" t="s">
        <v>168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137246.65</v>
      </c>
      <c r="D38" s="94" t="s">
        <v>166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187843.09</v>
      </c>
      <c r="D39" s="94" t="s">
        <v>167</v>
      </c>
      <c r="E39" s="68"/>
      <c r="G39" s="67"/>
      <c r="H39" s="67"/>
      <c r="L39" s="63"/>
      <c r="M39" s="177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7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186655.44</v>
      </c>
      <c r="D41" s="80" t="s">
        <v>59</v>
      </c>
      <c r="E41" s="68"/>
      <c r="G41" s="67"/>
      <c r="H41" s="67"/>
      <c r="L41" s="63"/>
      <c r="M41" s="177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186655.44</v>
      </c>
      <c r="D42" s="80" t="s">
        <v>59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87667.9</v>
      </c>
      <c r="F45" s="94" t="s">
        <v>168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6017.01</v>
      </c>
      <c r="D46" s="94" t="s">
        <v>169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87779.14</v>
      </c>
      <c r="D47" s="94" t="s">
        <v>167</v>
      </c>
      <c r="E47" s="124"/>
      <c r="G47" s="67"/>
      <c r="H47" s="67"/>
      <c r="L47" s="63"/>
      <c r="M47" s="177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124"/>
      <c r="G48" s="67"/>
      <c r="H48" s="67"/>
      <c r="L48" s="63"/>
      <c r="M48" s="177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87667.9</v>
      </c>
      <c r="D49" s="80" t="s">
        <v>59</v>
      </c>
      <c r="E49" s="124"/>
      <c r="G49" s="67"/>
      <c r="H49" s="67"/>
      <c r="L49" s="63"/>
      <c r="M49" s="177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87667.9</v>
      </c>
      <c r="D50" s="80" t="s">
        <v>59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106598.86</v>
      </c>
      <c r="F53" s="94" t="s">
        <v>168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6019.13</v>
      </c>
      <c r="D54" s="94" t="s">
        <v>169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105591.38</v>
      </c>
      <c r="D55" s="94" t="s">
        <v>167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1007.4799999999959</v>
      </c>
      <c r="D56" s="80" t="s">
        <v>59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106598.86</v>
      </c>
      <c r="D57" s="80" t="s">
        <v>59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106598.86</v>
      </c>
      <c r="D58" s="80" t="s">
        <v>59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100998.6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186.9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101105.29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100998.6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100998.6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2024-04-23T05:56:35Z</dcterms:modified>
</cp:coreProperties>
</file>