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G110" i="1"/>
  <c r="J109" i="1"/>
  <c r="J104" i="1"/>
  <c r="J103" i="1"/>
  <c r="A109" i="1"/>
  <c r="A105" i="1"/>
  <c r="G102" i="1"/>
  <c r="J101" i="1"/>
  <c r="J96" i="1"/>
  <c r="J95" i="1"/>
  <c r="A101" i="1"/>
  <c r="G94" i="1"/>
  <c r="K94" i="1"/>
  <c r="A119" i="1" l="1"/>
  <c r="F102" i="1"/>
  <c r="F110" i="1"/>
  <c r="A116" i="1"/>
  <c r="A111" i="1"/>
  <c r="A112" i="1"/>
  <c r="A110" i="1"/>
  <c r="A113" i="1"/>
  <c r="D110" i="1"/>
  <c r="A115" i="1"/>
  <c r="A122" i="1"/>
  <c r="A118" i="1"/>
  <c r="A123" i="1"/>
  <c r="A141" i="1"/>
  <c r="F134" i="1"/>
  <c r="D118" i="1"/>
  <c r="A120" i="1"/>
  <c r="A124" i="1"/>
  <c r="F94" i="1"/>
  <c r="A97" i="1"/>
  <c r="F118" i="1"/>
  <c r="A121" i="1"/>
  <c r="A137" i="1"/>
  <c r="A98" i="1"/>
  <c r="A94" i="1"/>
  <c r="A95" i="1"/>
  <c r="A99" i="1"/>
  <c r="D94" i="1"/>
  <c r="A96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73" i="1" l="1"/>
  <c r="F186" i="1"/>
  <c r="H170" i="1"/>
  <c r="H180" i="1"/>
  <c r="H164" i="1"/>
  <c r="H171" i="1"/>
  <c r="H186" i="1"/>
  <c r="H176" i="1"/>
  <c r="H179" i="1"/>
  <c r="F168" i="1"/>
  <c r="F187" i="1"/>
  <c r="H165" i="1"/>
  <c r="F165" i="1"/>
  <c r="H174" i="1"/>
  <c r="H184" i="1"/>
  <c r="H187" i="1"/>
  <c r="F170" i="1"/>
  <c r="H168" i="1"/>
  <c r="F173" i="1"/>
  <c r="H167" i="1"/>
  <c r="F171" i="1"/>
  <c r="F179" i="1"/>
  <c r="F178" i="1"/>
  <c r="H178" i="1"/>
  <c r="F164" i="1"/>
  <c r="F183" i="1"/>
  <c r="H183" i="1"/>
  <c r="H172" i="1"/>
  <c r="F172" i="1"/>
  <c r="H166" i="1"/>
  <c r="F185" i="1"/>
  <c r="H169" i="1"/>
  <c r="F169" i="1"/>
  <c r="F174" i="1"/>
  <c r="F180" i="1"/>
  <c r="F176" i="1"/>
  <c r="F184" i="1"/>
  <c r="H177" i="1"/>
  <c r="F182" i="1"/>
  <c r="H185" i="1"/>
  <c r="F166" i="1"/>
  <c r="F175" i="1"/>
  <c r="F177" i="1"/>
  <c r="H182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<sst xmlns="http://schemas.openxmlformats.org/spreadsheetml/2006/main" count="549" uniqueCount="201">
  <si>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</si>
  <si>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</si>
  <si>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</si>
  <si>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</si>
  <si>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</si>
  <si>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</si>
  <si>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</si>
  <si>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</si>
  <si>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</si>
  <si>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</si>
  <si>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</si>
  <si>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</si>
  <si>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</si>
  <si>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</si>
  <si>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</si>
  <si>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</si>
  <si>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</si>
  <si>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</si>
  <si>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</si>
  <si>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</si>
  <si>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</si>
  <si>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</si>
  <si>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</si>
  <si>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</si>
  <si>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</si>
  <si>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</si>
  <si>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</si>
  <si>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</si>
  <si>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</si>
  <si>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</si>
  <si>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</si>
  <si>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</si>
  <si>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</si>
  <si>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</si>
  <si>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</si>
  <si>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</si>
  <si>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</si>
  <si>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</si>
  <si>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</si>
  <si>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</si>
  <si>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</si>
  <si>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</si>
  <si>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</si>
  <si>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</si>
  <si>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</si>
  <si>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</si>
  <si>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</si>
  <si>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</si>
  <si>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</si>
  <si>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</si>
  <si>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</si>
  <si>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</si>
  <si>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</si>
  <si>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</si>
  <si>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</si>
  <si>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</si>
  <si>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</si>
  <si>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</si>
  <si>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</si>
  <si>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</si>
  <si>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</si>
  <si>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</si>
  <si>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</si>
  <si>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</si>
  <si>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</si>
  <si>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</si>
  <si>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</si>
  <si>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</si>
  <si>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</si>
  <si>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</si>
  <si>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</si>
  <si>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</si>
  <si>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</si>
  <si>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</si>
  <si>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</si>
  <si>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</si>
  <si>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</si>
  <si>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</si>
  <si>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</si>
  <si>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</si>
  <si>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</si>
  <si>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</si>
  <si>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</si>
  <si>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</si>
  <si>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</si>
  <si>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</si>
  <si>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</si>
  <si>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</si>
  <si>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</si>
  <si>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</si>
  <si>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</si>
  <si>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</si>
  <si>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</si>
  <si>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</si>
  <si>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</si>
  <si>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</si>
  <si>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</si>
  <si>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</si>
  <si>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</si>
  <si>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</si>
  <si>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</si>
  <si>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</si>
  <si>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</si>
  <si>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</si>
  <si>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</si>
  <si>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</si>
  <si>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</si>
  <si>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</si>
  <si>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</si>
  <si>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</si>
  <si>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</si>
  <si>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</si>
  <si>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</si>
  <si>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</si>
  <si>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</si>
  <si>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</si>
  <si>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</si>
  <si>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</si>
  <si>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</si>
  <si>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</si>
  <si>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</si>
  <si>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</si>
  <si>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</si>
  <si>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</si>
  <si>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</si>
  <si>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</si>
  <si>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</si>
  <si>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</si>
  <si>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</si>
  <si>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</si>
  <si>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</si>
  <si>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</si>
  <si>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</si>
  <si>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</si>
  <si>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</si>
  <si>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</si>
  <si>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</si>
  <si>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</si>
  <si>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</si>
  <si>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</si>
  <si>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</si>
  <si>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</si>
  <si>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</si>
  <si>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</si>
  <si>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</si>
  <si>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</si>
  <si>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</si>
  <si>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</si>
  <si>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</si>
  <si>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</si>
  <si>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</si>
  <si>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</si>
  <si>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</si>
  <si>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</si>
  <si>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</si>
  <si>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</si>
  <si>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</si>
  <si>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</si>
  <si>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</si>
  <si>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</si>
  <si>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</si>
  <si>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</si>
  <si>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</si>
  <si>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</si>
  <si>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</si>
  <si>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</si>
  <si>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</si>
  <si>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</si>
  <si>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</si>
  <si>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</si>
  <si>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</si>
  <si>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</si>
  <si>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</si>
  <si>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</si>
  <si>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</si>
  <si>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</si>
  <si>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</si>
  <si>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12/2</t>
  </si>
  <si>
    <t>Отчет об исполнении договора управления многоквартирного дома 
Мамина-Сибиряка, 12/2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</si>
  <si>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</si>
  <si>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</si>
  <si>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</si>
  <si>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</si>
  <si>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</si>
  <si>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</si>
  <si>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</si>
  <si>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механизированная уборка и вывоз снега с придомовой территории</t>
  </si>
  <si>
    <t>Механизированная уборка и вывоз снега с придомовой территории.</t>
  </si>
  <si>
    <t>разово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</si>
  <si>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</si>
  <si>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</si>
  <si>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</si>
  <si>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</si>
  <si>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</si>
  <si>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АВР 1/23 от 20.02.2023, Решение</t>
  </si>
  <si>
    <t>Приобретение и установка контактора лифта.</t>
  </si>
  <si>
    <t>АВР 2/23 от 23.11.2023, Решение, счет №152 от 23.11.2023</t>
  </si>
  <si>
    <t>Проведение ремонта асфальтного покрытия на придомовой территории.</t>
  </si>
  <si>
    <t>АВР 3/23 от 19.09.2023, Решение</t>
  </si>
  <si>
    <t>АВР 4/23 от 29.04.2023, Решение</t>
  </si>
  <si>
    <t>АВР 5/23 от 31.12.2023,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</si>
</sst>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3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31" fillId="0" borderId="0" xfId="0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0" fontId="2" fillId="0" borderId="0" xfId="4" applyFont="1" applyFill="1" applyBorder="1" applyAlignment="1"/>
    <xf numFmtId="4" fontId="0" fillId="0" borderId="0" xfId="0" applyNumberFormat="1" applyBorder="1" applyAlignment="1">
      <alignment horizontal="center"/>
    </xf>
    <xf numFmtId="4" fontId="23" fillId="3" borderId="0" xfId="7" applyNumberFormat="1" applyFont="1" applyFill="1" applyBorder="1" applyAlignment="1">
      <alignment horizontal="left" vertical="center" wrapText="1"/>
    </xf>
    <xf numFmtId="4" fontId="13" fillId="0" borderId="0" xfId="1" applyNumberFormat="1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/>
    <xf numFmtId="0" fontId="7" fillId="0" borderId="0" xfId="5" applyFill="1" applyBorder="1" applyAlignment="1"/>
    <xf numFmtId="0" fontId="7" fillId="0" borderId="0" xfId="5" applyFill="1" applyBorder="1" applyAlignment="1">
      <alignment horizontal="center"/>
    </xf>
    <xf numFmtId="4" fontId="21" fillId="0" borderId="0" xfId="5" applyNumberFormat="1" applyFont="1" applyFill="1" applyBorder="1" applyAlignment="1"/>
    <xf numFmtId="0" fontId="0" fillId="0" borderId="0" xfId="0" applyFill="1" applyBorder="1"/>
    <xf numFmtId="0" fontId="7" fillId="0" borderId="0" xfId="5" applyNumberFormat="1" applyFill="1" applyBorder="1" applyAlignment="1">
      <alignment horizontal="center"/>
    </xf>
    <xf numFmtId="4" fontId="7" fillId="0" borderId="0" xfId="5" applyNumberForma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2" sqref="M1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9" t="s">
        <v>177</v>
      </c>
      <c r="B2" s="169"/>
      <c r="C2" s="169"/>
      <c r="D2" s="169"/>
      <c r="E2" s="169"/>
      <c r="F2" s="169"/>
      <c r="G2" s="169"/>
      <c r="H2" s="169"/>
      <c r="I2" s="169"/>
      <c r="J2" s="16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6" t="s">
        <v>1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09"/>
      <c r="L8" s="170"/>
      <c r="M8" s="109"/>
      <c r="N8" s="109"/>
      <c r="O8" s="70" t="s">
        <v>82</v>
      </c>
      <c r="R8" s="16"/>
    </row>
    <row r="9" spans="1:18" ht="18.75" customHeight="1" outlineLevel="1">
      <c r="A9" s="166" t="s">
        <v>2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09"/>
      <c r="L9" s="170"/>
      <c r="M9" s="109"/>
      <c r="N9" s="109"/>
      <c r="O9" s="70" t="s">
        <v>83</v>
      </c>
    </row>
    <row r="10" spans="1:18" ht="18.75" customHeight="1" outlineLevel="1">
      <c r="A10" s="166" t="s">
        <v>3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418077.16</v>
      </c>
      <c r="K10" s="109"/>
      <c r="L10" s="170"/>
      <c r="M10" s="109"/>
      <c r="N10" s="109"/>
      <c r="O10" s="70" t="s">
        <v>84</v>
      </c>
    </row>
    <row r="11" spans="1:18" outlineLevel="1">
      <c r="A11" s="166" t="s">
        <v>4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547637.44800000009</v>
      </c>
      <c r="K11" s="109"/>
      <c r="L11" s="170"/>
      <c r="M11" s="109"/>
      <c r="N11" s="109"/>
      <c r="O11" s="70" t="s">
        <v>85</v>
      </c>
    </row>
    <row r="12" spans="1:18" ht="18.75" customHeight="1" outlineLevel="1">
      <c r="A12" s="166" t="s">
        <v>5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418428.84</v>
      </c>
      <c r="K12" s="109"/>
      <c r="L12" s="170"/>
      <c r="M12" s="109"/>
      <c r="N12" s="109"/>
      <c r="O12" s="70" t="s">
        <v>86</v>
      </c>
    </row>
    <row r="13" spans="1:18" ht="18.75" customHeight="1" outlineLevel="1">
      <c r="A13" s="166" t="s">
        <v>6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129208.60800000001</v>
      </c>
      <c r="K13" s="109"/>
      <c r="L13" s="170"/>
      <c r="M13" s="109"/>
      <c r="N13" s="109"/>
      <c r="O13" s="70" t="s">
        <v>87</v>
      </c>
    </row>
    <row r="14" spans="1:18" ht="18.75" customHeight="1" outlineLevel="1">
      <c r="A14" s="166" t="s">
        <v>7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09"/>
      <c r="L14" s="170"/>
      <c r="M14" s="109"/>
      <c r="N14" s="109"/>
      <c r="O14" s="70" t="s">
        <v>88</v>
      </c>
    </row>
    <row r="15" spans="1:18" ht="18.75" customHeight="1" outlineLevel="1">
      <c r="A15" s="166" t="s">
        <v>8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554698.42000000004</v>
      </c>
      <c r="K15" s="109"/>
      <c r="L15" s="170"/>
      <c r="M15" s="109"/>
      <c r="N15" s="109"/>
      <c r="O15" s="70" t="s">
        <v>89</v>
      </c>
    </row>
    <row r="16" spans="1:18" ht="18.75" customHeight="1" outlineLevel="1">
      <c r="A16" s="166" t="s">
        <v>9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554698.42000000004</v>
      </c>
      <c r="K16" s="109"/>
      <c r="L16" s="170"/>
      <c r="M16" s="109"/>
      <c r="N16" s="109"/>
      <c r="O16" s="70" t="s">
        <v>90</v>
      </c>
    </row>
    <row r="17" spans="1:23" ht="18.75" customHeight="1" outlineLevel="1">
      <c r="A17" s="166" t="s">
        <v>10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09"/>
      <c r="L17" s="170"/>
      <c r="M17" s="109"/>
      <c r="N17" s="109"/>
      <c r="O17" s="70" t="s">
        <v>91</v>
      </c>
    </row>
    <row r="18" spans="1:23" ht="18.75" customHeight="1" outlineLevel="1">
      <c r="A18" s="166" t="s">
        <v>11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09"/>
      <c r="L18" s="170"/>
      <c r="M18" s="109"/>
      <c r="N18" s="109"/>
      <c r="O18" s="70" t="s">
        <v>92</v>
      </c>
    </row>
    <row r="19" spans="1:23" ht="18.75" customHeight="1" outlineLevel="1">
      <c r="A19" s="166" t="s">
        <v>12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09"/>
      <c r="L19" s="170"/>
      <c r="M19" s="109"/>
      <c r="N19" s="109"/>
      <c r="O19" s="70" t="s">
        <v>93</v>
      </c>
    </row>
    <row r="20" spans="1:23" ht="18.75" customHeight="1" outlineLevel="1">
      <c r="A20" s="166" t="s">
        <v>13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09"/>
      <c r="L20" s="170"/>
      <c r="M20" s="109"/>
      <c r="N20" s="109"/>
      <c r="O20" s="70" t="s">
        <v>94</v>
      </c>
    </row>
    <row r="21" spans="1:23" ht="18.75" customHeight="1" outlineLevel="1">
      <c r="A21" s="166" t="s">
        <v>14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554698.42000000004</v>
      </c>
      <c r="K21" s="109"/>
      <c r="L21" s="170"/>
      <c r="M21" s="109"/>
      <c r="N21" s="109"/>
      <c r="O21" s="70" t="s">
        <v>95</v>
      </c>
    </row>
    <row r="22" spans="1:23" ht="18.75" customHeight="1" outlineLevel="1">
      <c r="A22" s="166" t="s">
        <v>15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09"/>
      <c r="L22" s="170"/>
      <c r="M22" s="109"/>
      <c r="N22" s="109"/>
      <c r="O22" s="70" t="s">
        <v>96</v>
      </c>
    </row>
    <row r="23" spans="1:23" ht="18.75" customHeight="1" outlineLevel="1">
      <c r="A23" s="166" t="s">
        <v>16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09"/>
      <c r="L23" s="170"/>
      <c r="M23" s="109"/>
      <c r="N23" s="109"/>
      <c r="O23" s="70" t="s">
        <v>97</v>
      </c>
    </row>
    <row r="24" spans="1:23" ht="18.75" customHeight="1" outlineLevel="1">
      <c r="A24" s="166" t="s">
        <v>17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411016.18799999997</v>
      </c>
      <c r="K24" s="109"/>
      <c r="L24" s="17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3" t="s">
        <v>18</v>
      </c>
      <c r="B27" s="153"/>
      <c r="C27" s="153"/>
      <c r="D27" s="153"/>
      <c r="E27" s="153"/>
      <c r="F27" s="153" t="s">
        <v>19</v>
      </c>
      <c r="G27" s="153"/>
      <c r="H27" s="5" t="s">
        <v>56</v>
      </c>
      <c r="I27" s="153" t="s">
        <v>20</v>
      </c>
      <c r="J27" s="153"/>
      <c r="K27" s="109"/>
      <c r="L27" s="17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48">
        <f>VLOOKUP(A28,ПТО!$A$39:$D$53,2,FALSE)</f>
        <v>125664.95999999999</v>
      </c>
      <c r="G28" s="148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09"/>
      <c r="L28" s="17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7"/>
      <c r="C29" s="147"/>
      <c r="D29" s="147"/>
      <c r="E29" s="147"/>
      <c r="F29" s="148">
        <f>VLOOKUP(A29,ПТО!$A$39:$D$53,2,FALSE)</f>
        <v>108764.16</v>
      </c>
      <c r="G29" s="148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09"/>
      <c r="L29" s="171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48">
        <f>VLOOKUP(A30,ПТО!$A$39:$D$53,2,FALSE)</f>
        <v>35982.120000000003</v>
      </c>
      <c r="G30" s="148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09"/>
      <c r="L30" s="17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48">
        <f>VLOOKUP(A31,ПТО!$A$39:$D$53,2,FALSE)</f>
        <v>32711.040000000001</v>
      </c>
      <c r="G31" s="148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09"/>
      <c r="L31" s="17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09"/>
      <c r="L32" s="171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48">
        <f>VLOOKUP(A33,ПТО!$A$39:$D$53,2,FALSE)</f>
        <v>10903.68</v>
      </c>
      <c r="G33" s="148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09"/>
      <c r="L33" s="17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48">
        <f>VLOOKUP(A34,ПТО!$A$39:$D$53,2,FALSE)</f>
        <v>50429.520000000004</v>
      </c>
      <c r="G34" s="148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09"/>
      <c r="L34" s="17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7" t="str">
        <f>ПТО!A46</f>
        <v>Работы по содержанию лифта (лифтов)</v>
      </c>
      <c r="B35" s="147"/>
      <c r="C35" s="147"/>
      <c r="D35" s="147"/>
      <c r="E35" s="147"/>
      <c r="F35" s="148">
        <f>VLOOKUP(A35,ПТО!$A$39:$D$53,2,FALSE)</f>
        <v>53973.240000000005</v>
      </c>
      <c r="G35" s="148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09"/>
      <c r="L35" s="171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09"/>
      <c r="L36" s="171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09"/>
      <c r="L37" s="171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09"/>
      <c r="L38" s="171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09"/>
      <c r="L39" s="171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09"/>
      <c r="L40" s="171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09"/>
      <c r="L41" s="171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09"/>
      <c r="L42" s="171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47" t="str">
        <f>ПТО!A2</f>
        <v>Техническое освидетельствование лифта.</v>
      </c>
      <c r="B43" s="147"/>
      <c r="C43" s="147"/>
      <c r="D43" s="147"/>
      <c r="E43" s="147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9">
        <f>VLOOKUP(A43,ПТО!$A$2:$D$31,3,FALSE)</f>
        <v>1</v>
      </c>
      <c r="J43" s="149"/>
      <c r="K43" s="109"/>
      <c r="L43" s="171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7" t="str">
        <f>ПТО!A3</f>
        <v>Техническое обслуживание охранной сигнализации.</v>
      </c>
      <c r="B44" s="147"/>
      <c r="C44" s="147"/>
      <c r="D44" s="147"/>
      <c r="E44" s="147"/>
      <c r="F44" s="148">
        <f>VLOOKUP(A44,ПТО!$A$2:$D$31,4,FALSE)</f>
        <v>11550.000000000002</v>
      </c>
      <c r="G44" s="148"/>
      <c r="H44" s="25" t="str">
        <f>VLOOKUP(A44,ПТО!$A$2:$D$31,2,FALSE)</f>
        <v>ежемесячно</v>
      </c>
      <c r="I44" s="149">
        <f>VLOOKUP(A44,ПТО!$A$2:$D$31,3,FALSE)</f>
        <v>12</v>
      </c>
      <c r="J44" s="149"/>
      <c r="K44" s="109"/>
      <c r="L44" s="171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7" t="str">
        <f>ПТО!A4</f>
        <v>Механизированная уборка и вывоз снега с придомовой территории.</v>
      </c>
      <c r="B45" s="147"/>
      <c r="C45" s="147"/>
      <c r="D45" s="147"/>
      <c r="E45" s="147"/>
      <c r="F45" s="148">
        <f>VLOOKUP(A45,ПТО!$A$2:$D$31,4,FALSE)</f>
        <v>23167</v>
      </c>
      <c r="G45" s="148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09"/>
      <c r="L45" s="171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47" t="str">
        <f>ПТО!A5</f>
        <v>Приобретение и установка контактора лифта.</v>
      </c>
      <c r="B46" s="147"/>
      <c r="C46" s="147"/>
      <c r="D46" s="147"/>
      <c r="E46" s="147"/>
      <c r="F46" s="148">
        <f>VLOOKUP(A46,ПТО!$A$2:$D$31,4,FALSE)</f>
        <v>29760</v>
      </c>
      <c r="G46" s="148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09"/>
      <c r="L46" s="171"/>
      <c r="M46" s="115"/>
      <c r="N46" s="109"/>
      <c r="O46" s="23" t="str">
        <f t="shared" si="1"/>
        <v>Приобретение и установка контактора лифта.</v>
      </c>
      <c r="R46" s="22" t="s">
        <v>71</v>
      </c>
    </row>
    <row r="47" spans="1:18" ht="51" customHeight="1" outlineLevel="1">
      <c r="A47" s="147" t="str">
        <f>ПТО!A6</f>
        <v>Проведение ремонта асфальтного покрытия на придомовой территории.</v>
      </c>
      <c r="B47" s="147"/>
      <c r="C47" s="147"/>
      <c r="D47" s="147"/>
      <c r="E47" s="147"/>
      <c r="F47" s="148">
        <f>VLOOKUP(A47,ПТО!$A$2:$D$31,4,FALSE)</f>
        <v>57246.37</v>
      </c>
      <c r="G47" s="148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09"/>
      <c r="L47" s="171"/>
      <c r="M47" s="115"/>
      <c r="N47" s="109"/>
      <c r="O47" s="23" t="str">
        <f t="shared" si="1"/>
        <v>Проведение ремонта асфальтного покрытия на придомовой территории.</v>
      </c>
      <c r="R47" s="22" t="s">
        <v>71</v>
      </c>
    </row>
    <row r="48" spans="1:18" ht="51" hidden="1" customHeight="1" outlineLevel="1">
      <c r="A48" s="147">
        <f>ПТО!A7</f>
        <v>0</v>
      </c>
      <c r="B48" s="147"/>
      <c r="C48" s="147"/>
      <c r="D48" s="147"/>
      <c r="E48" s="147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9" t="e">
        <f>VLOOKUP(A48,ПТО!$A$2:$D$31,3,FALSE)</f>
        <v>#N/A</v>
      </c>
      <c r="J48" s="149"/>
      <c r="K48" s="109"/>
      <c r="L48" s="171"/>
      <c r="M48" s="115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47">
        <f>ПТО!A8</f>
        <v>0</v>
      </c>
      <c r="B49" s="147"/>
      <c r="C49" s="147"/>
      <c r="D49" s="147"/>
      <c r="E49" s="147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9" t="e">
        <f>VLOOKUP(A49,ПТО!$A$2:$D$31,3,FALSE)</f>
        <v>#N/A</v>
      </c>
      <c r="J49" s="149"/>
      <c r="K49" s="109"/>
      <c r="L49" s="171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09"/>
      <c r="L50" s="171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09"/>
      <c r="L51" s="171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09"/>
      <c r="L52" s="171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09"/>
      <c r="L53" s="171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09"/>
      <c r="L54" s="171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09"/>
      <c r="L55" s="171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09"/>
      <c r="L56" s="171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09"/>
      <c r="L57" s="171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09"/>
      <c r="L58" s="171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09"/>
      <c r="L59" s="171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09"/>
      <c r="L60" s="171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09"/>
      <c r="L61" s="171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09"/>
      <c r="L62" s="171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09"/>
      <c r="L63" s="171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09"/>
      <c r="L64" s="171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09"/>
      <c r="L65" s="171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09"/>
      <c r="L66" s="171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09"/>
      <c r="L67" s="171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09"/>
      <c r="L68" s="171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09"/>
      <c r="L69" s="171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09"/>
      <c r="L70" s="171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5"/>
      <c r="L71" s="171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09"/>
      <c r="L72" s="171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5" t="s">
        <v>26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09"/>
      <c r="L75" s="154"/>
      <c r="M75" s="109"/>
      <c r="N75" s="109"/>
      <c r="O75" s="70" t="s">
        <v>99</v>
      </c>
    </row>
    <row r="76" spans="1:16384" ht="18.75" customHeight="1" outlineLevel="1">
      <c r="A76" s="165" t="s">
        <v>27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09"/>
      <c r="L76" s="154"/>
      <c r="M76" s="109"/>
      <c r="N76" s="109"/>
      <c r="O76" s="70" t="s">
        <v>100</v>
      </c>
    </row>
    <row r="77" spans="1:16384" ht="21.75" customHeight="1" outlineLevel="1">
      <c r="A77" s="165" t="s">
        <v>28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09"/>
      <c r="L77" s="154"/>
      <c r="M77" s="109"/>
      <c r="N77" s="109"/>
      <c r="O77" s="70" t="s">
        <v>101</v>
      </c>
    </row>
    <row r="78" spans="1:16384" ht="18.75" customHeight="1" outlineLevel="1">
      <c r="A78" s="165" t="s">
        <v>29</v>
      </c>
      <c r="B78" s="165"/>
      <c r="C78" s="165"/>
      <c r="D78" s="165"/>
      <c r="E78" s="165"/>
      <c r="F78" s="165"/>
      <c r="G78" s="165"/>
      <c r="H78" s="165"/>
      <c r="I78" s="165"/>
      <c r="J78" s="97">
        <f>VLOOKUP(O78,АО,3,FALSE)</f>
        <v>0</v>
      </c>
      <c r="K78" s="109"/>
      <c r="L78" s="154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5" t="s">
        <v>1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09"/>
      <c r="L81" s="172"/>
      <c r="M81" s="109"/>
      <c r="N81" s="109"/>
      <c r="O81" s="70" t="s">
        <v>103</v>
      </c>
    </row>
    <row r="82" spans="1:15" outlineLevel="1">
      <c r="A82" s="155" t="s">
        <v>2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09"/>
      <c r="L82" s="172"/>
      <c r="M82" s="109"/>
      <c r="N82" s="109"/>
      <c r="O82" s="70" t="s">
        <v>104</v>
      </c>
    </row>
    <row r="83" spans="1:15" outlineLevel="1">
      <c r="A83" s="162" t="s">
        <v>3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53948.04</v>
      </c>
      <c r="K83" s="109"/>
      <c r="L83" s="172"/>
      <c r="M83" s="109"/>
      <c r="N83" s="109"/>
      <c r="O83" s="70" t="s">
        <v>105</v>
      </c>
    </row>
    <row r="84" spans="1:15" outlineLevel="1">
      <c r="A84" s="162" t="s">
        <v>15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09"/>
      <c r="L84" s="172"/>
      <c r="M84" s="109"/>
      <c r="N84" s="109"/>
      <c r="O84" s="70" t="s">
        <v>106</v>
      </c>
    </row>
    <row r="85" spans="1:15" outlineLevel="1">
      <c r="A85" s="162" t="s">
        <v>16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09"/>
      <c r="L85" s="172"/>
      <c r="M85" s="109"/>
      <c r="N85" s="109"/>
      <c r="O85" s="70" t="s">
        <v>107</v>
      </c>
    </row>
    <row r="86" spans="1:15" outlineLevel="1">
      <c r="A86" s="162" t="s">
        <v>17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54250.25</v>
      </c>
      <c r="K86" s="109"/>
      <c r="L86" s="172"/>
      <c r="M86" s="109"/>
      <c r="N86" s="109"/>
      <c r="O86" s="70" t="s">
        <v>108</v>
      </c>
    </row>
    <row r="87" spans="1:15" ht="18.75" customHeight="1" outlineLevel="1">
      <c r="A87" s="162" t="s">
        <v>26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09"/>
      <c r="L87" s="172"/>
      <c r="M87" s="109"/>
      <c r="N87" s="109"/>
      <c r="O87" s="70" t="s">
        <v>109</v>
      </c>
    </row>
    <row r="88" spans="1:15" ht="18.75" customHeight="1" outlineLevel="1">
      <c r="A88" s="162" t="s">
        <v>27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09"/>
      <c r="L88" s="172"/>
      <c r="M88" s="109"/>
      <c r="N88" s="109"/>
      <c r="O88" s="70" t="s">
        <v>110</v>
      </c>
    </row>
    <row r="89" spans="1:15" ht="18.75" customHeight="1" outlineLevel="1">
      <c r="A89" s="162" t="s">
        <v>28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09"/>
      <c r="L89" s="172"/>
      <c r="M89" s="109"/>
      <c r="N89" s="109"/>
      <c r="O89" s="70" t="s">
        <v>111</v>
      </c>
    </row>
    <row r="90" spans="1:15" ht="18.75" customHeight="1" outlineLevel="1">
      <c r="A90" s="162" t="s">
        <v>29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09"/>
      <c r="L90" s="17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6" t="s">
        <v>47</v>
      </c>
      <c r="B93" s="156"/>
      <c r="C93" s="156"/>
      <c r="D93" s="159" t="s">
        <v>48</v>
      </c>
      <c r="E93" s="159"/>
      <c r="F93" s="10" t="s">
        <v>49</v>
      </c>
      <c r="G93" s="156" t="s">
        <v>50</v>
      </c>
      <c r="H93" s="156"/>
      <c r="I93" s="156"/>
      <c r="J93" s="156"/>
      <c r="K93" s="109"/>
      <c r="L93" s="109"/>
      <c r="M93" s="109"/>
      <c r="N93" s="109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7">
        <f>VLOOKUP("эл",АО,5,FALSE)</f>
        <v>172007.86</v>
      </c>
      <c r="H94" s="158"/>
      <c r="I94" s="158"/>
      <c r="J94" s="158"/>
      <c r="K94" s="1" t="str">
        <f>VLOOKUP("эл",АО,2,FALSE)</f>
        <v>Электроснабжение</v>
      </c>
      <c r="L94" s="173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126476.37</v>
      </c>
      <c r="L95" s="173"/>
      <c r="O95" s="1" t="s">
        <v>113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173778.81</v>
      </c>
      <c r="L96" s="173"/>
      <c r="O96" s="1" t="s">
        <v>114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0</v>
      </c>
      <c r="L97" s="173"/>
      <c r="O97" s="1" t="s">
        <v>115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172007.86</v>
      </c>
      <c r="L98" s="173"/>
      <c r="O98" s="1" t="s">
        <v>116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172007.86</v>
      </c>
      <c r="L99" s="173"/>
      <c r="O99" s="1" t="s">
        <v>117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73"/>
      <c r="O100" s="1" t="s">
        <v>118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73"/>
      <c r="O101" s="1" t="s">
        <v>119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7">
        <f>VLOOKUP("хвс",АО,5,FALSE)</f>
        <v>95055.52</v>
      </c>
      <c r="H102" s="158"/>
      <c r="I102" s="158"/>
      <c r="J102" s="158"/>
      <c r="L102" s="173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6524.06</v>
      </c>
      <c r="L103" s="173"/>
      <c r="O103" s="1" t="s">
        <v>122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93628.52</v>
      </c>
      <c r="L104" s="173"/>
      <c r="O104" s="1" t="s">
        <v>123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1427</v>
      </c>
      <c r="L105" s="173"/>
      <c r="O105" s="1" t="s">
        <v>124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95055.52</v>
      </c>
      <c r="L106" s="173"/>
      <c r="O106" s="1" t="s">
        <v>125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95055.52</v>
      </c>
      <c r="L107" s="173"/>
      <c r="O107" s="1" t="s">
        <v>126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73"/>
      <c r="O108" s="1" t="s">
        <v>127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73"/>
      <c r="O109" s="1" t="s">
        <v>128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7">
        <f>VLOOKUP("воо",АО,5,FALSE)</f>
        <v>115892.03</v>
      </c>
      <c r="H110" s="158"/>
      <c r="I110" s="158"/>
      <c r="J110" s="158"/>
      <c r="L110" s="173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6543.88</v>
      </c>
      <c r="L111" s="173"/>
      <c r="O111" s="1" t="s">
        <v>130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114322.31</v>
      </c>
      <c r="L112" s="173"/>
      <c r="O112" s="1" t="s">
        <v>131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1569.7200000000012</v>
      </c>
      <c r="L113" s="173"/>
      <c r="O113" s="1" t="s">
        <v>132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115892.03</v>
      </c>
      <c r="L114" s="173"/>
      <c r="O114" s="1" t="s">
        <v>133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115892.03</v>
      </c>
      <c r="L115" s="173"/>
      <c r="O115" s="1" t="s">
        <v>134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73"/>
      <c r="O116" s="1" t="s">
        <v>135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73"/>
      <c r="O117" s="1" t="s">
        <v>136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7">
        <f>VLOOKUP("тко",АО,5,FALSE)</f>
        <v>108804.48</v>
      </c>
      <c r="H118" s="158"/>
      <c r="I118" s="158"/>
      <c r="J118" s="158"/>
      <c r="L118" s="47"/>
    </row>
    <row r="119" spans="1:15" ht="32.25" customHeight="1" outlineLevel="2">
      <c r="A119" s="155" t="str">
        <f t="shared" ref="A119:A125" si="8">IF(VLOOKUP("тко",АО,3,FALSE)&gt;0,VLOOKUP(O119,АО,2,FALSE),0)</f>
        <v>Общий объем потребления, нат. показ.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201.34</v>
      </c>
      <c r="L119" s="47"/>
      <c r="O119" s="1" t="s">
        <v>138</v>
      </c>
    </row>
    <row r="120" spans="1:15" ht="32.25" customHeight="1" outlineLevel="2">
      <c r="A120" s="155" t="str">
        <f t="shared" si="8"/>
        <v>Оплачено потребителями, руб.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109728.04</v>
      </c>
      <c r="L120" s="47"/>
      <c r="O120" s="1" t="s">
        <v>139</v>
      </c>
    </row>
    <row r="121" spans="1:15" ht="32.25" customHeight="1" outlineLevel="2">
      <c r="A121" s="155" t="str">
        <f t="shared" si="8"/>
        <v>Задолженность потребителей, руб.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5" t="str">
        <f t="shared" si="8"/>
        <v>Начислено поставщиком (поставщиками) коммунального ресурса, руб.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108804.48</v>
      </c>
      <c r="L122" s="47"/>
      <c r="O122" s="1" t="s">
        <v>141</v>
      </c>
    </row>
    <row r="123" spans="1:15" ht="32.25" customHeight="1" outlineLevel="2">
      <c r="A123" s="155" t="str">
        <f t="shared" si="8"/>
        <v>Оплачено поставщику (поставщикам) коммунального ресурса, руб.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108804.48</v>
      </c>
      <c r="L123" s="47"/>
      <c r="O123" s="1" t="s">
        <v>142</v>
      </c>
    </row>
    <row r="124" spans="1:15" ht="32.25" customHeight="1" outlineLevel="2">
      <c r="A124" s="155" t="str">
        <f t="shared" si="8"/>
        <v>Задолженность перед поставщиком (поставщиками) коммунального ресурса, руб.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5" t="str">
        <f t="shared" si="8"/>
        <v>Размер пени и штрафов, уплаченных поставщику (поставщикам) коммунального ресурса, руб.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0">
        <f>IF(VLOOKUP("гвс",АО,3,FALSE)&gt;0,"Горячее водоснабжение",0)</f>
        <v>0</v>
      </c>
      <c r="B126" s="160"/>
      <c r="C126" s="160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7">
        <f>VLOOKUP("гвс",АО,5,FALSE)</f>
        <v>0</v>
      </c>
      <c r="H126" s="158"/>
      <c r="I126" s="158"/>
      <c r="J126" s="158"/>
      <c r="L126" s="47"/>
    </row>
    <row r="127" spans="1:15" ht="32.25" hidden="1" customHeight="1" outlineLevel="2">
      <c r="A127" s="155">
        <f t="shared" ref="A127:A133" si="10">IF(VLOOKUP("гвс",АО,3,FALSE)&gt;0,VLOOKUP(O127,АО,2,FALSE),0)</f>
        <v>0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5">
        <f t="shared" si="10"/>
        <v>0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5">
        <f t="shared" si="10"/>
        <v>0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5">
        <f t="shared" si="10"/>
        <v>0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5">
        <f t="shared" si="10"/>
        <v>0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5">
        <f t="shared" si="10"/>
        <v>0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5">
        <f t="shared" si="10"/>
        <v>0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5" t="s">
        <v>44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170</v>
      </c>
    </row>
    <row r="145" spans="1:15" ht="18.75" customHeight="1" outlineLevel="1">
      <c r="A145" s="155" t="s">
        <v>45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11</v>
      </c>
      <c r="L145" s="15"/>
      <c r="O145" t="s">
        <v>171</v>
      </c>
    </row>
    <row r="146" spans="1:15" ht="30" customHeight="1" outlineLevel="1">
      <c r="A146" s="155" t="s">
        <v>173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87123.9</v>
      </c>
      <c r="O146" t="s">
        <v>172</v>
      </c>
    </row>
    <row r="149" spans="1:15" ht="52.5" customHeight="1">
      <c r="A149" s="151" t="s">
        <v>178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183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50" t="s">
        <v>193</v>
      </c>
      <c r="B154" s="150"/>
      <c r="C154" s="150"/>
      <c r="D154" s="150"/>
      <c r="E154" s="27">
        <f>ПТО!G1</f>
        <v>-353709.64</v>
      </c>
    </row>
    <row r="155" spans="1:15" ht="34.5" customHeight="1">
      <c r="A155" s="152" t="s">
        <v>192</v>
      </c>
      <c r="B155" s="152"/>
      <c r="C155" s="152"/>
      <c r="D155" s="152"/>
      <c r="E155" s="28">
        <f>J13</f>
        <v>129208.60800000001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18</v>
      </c>
      <c r="B157" s="153"/>
      <c r="C157" s="153"/>
      <c r="D157" s="153"/>
      <c r="E157" s="153"/>
      <c r="F157" s="153" t="s">
        <v>19</v>
      </c>
      <c r="G157" s="153"/>
      <c r="H157" s="20" t="s">
        <v>56</v>
      </c>
      <c r="I157" s="153" t="s">
        <v>20</v>
      </c>
      <c r="J157" s="153"/>
    </row>
    <row r="158" spans="1:15" ht="29.25" customHeight="1">
      <c r="A158" s="147" t="str">
        <f t="shared" ref="A158:A163" si="14">IF(N158&gt;0,N158,0)</f>
        <v>Техническое освидетельствование лифта.</v>
      </c>
      <c r="B158" s="147"/>
      <c r="C158" s="147"/>
      <c r="D158" s="147"/>
      <c r="E158" s="147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1</v>
      </c>
      <c r="J158" s="14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7" t="str">
        <f t="shared" si="14"/>
        <v>Техническое обслуживание охранной сигнализации.</v>
      </c>
      <c r="B159" s="147"/>
      <c r="C159" s="147"/>
      <c r="D159" s="147"/>
      <c r="E159" s="147"/>
      <c r="F159" s="148">
        <f t="shared" si="15"/>
        <v>11550.000000000002</v>
      </c>
      <c r="G159" s="148"/>
      <c r="H159" s="24" t="str">
        <f t="shared" si="16"/>
        <v>ежемесячно</v>
      </c>
      <c r="I159" s="149">
        <f t="shared" si="17"/>
        <v>12</v>
      </c>
      <c r="J159" s="149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7" t="str">
        <f t="shared" si="14"/>
        <v>Механизированная уборка и вывоз снега с придомовой территории.</v>
      </c>
      <c r="B160" s="147"/>
      <c r="C160" s="147"/>
      <c r="D160" s="147"/>
      <c r="E160" s="147"/>
      <c r="F160" s="148">
        <f t="shared" si="15"/>
        <v>23167</v>
      </c>
      <c r="G160" s="148"/>
      <c r="H160" s="24" t="str">
        <f t="shared" si="16"/>
        <v>разово</v>
      </c>
      <c r="I160" s="149">
        <f t="shared" si="17"/>
        <v>1</v>
      </c>
      <c r="J160" s="149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47" t="str">
        <f>IF(N161&gt;0,N161,0)</f>
        <v>Приобретение и установка контактора лифта.</v>
      </c>
      <c r="B161" s="147"/>
      <c r="C161" s="147"/>
      <c r="D161" s="147"/>
      <c r="E161" s="147"/>
      <c r="F161" s="148">
        <f t="shared" si="15"/>
        <v>29760</v>
      </c>
      <c r="G161" s="148"/>
      <c r="H161" s="24" t="str">
        <f t="shared" si="16"/>
        <v>разово</v>
      </c>
      <c r="I161" s="149">
        <f t="shared" si="17"/>
        <v>1</v>
      </c>
      <c r="J161" s="149"/>
      <c r="M161" s="22" t="s">
        <v>71</v>
      </c>
      <c r="N161" s="1" t="str">
        <v>Приобретение и установка контактора лифта.</v>
      </c>
    </row>
    <row r="162" spans="1:14" ht="28.5" customHeight="1">
      <c r="A162" s="147" t="str">
        <f t="shared" si="14"/>
        <v>Проведение ремонта асфальтного покрытия на придомовой территории.</v>
      </c>
      <c r="B162" s="147"/>
      <c r="C162" s="147"/>
      <c r="D162" s="147"/>
      <c r="E162" s="147"/>
      <c r="F162" s="148">
        <f t="shared" si="15"/>
        <v>57246.37</v>
      </c>
      <c r="G162" s="148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71</v>
      </c>
      <c r="N162" s="1" t="str">
        <v>Проведение ремонта асфальтного покрытия на придомовой территории.</v>
      </c>
    </row>
    <row r="163" spans="1:14" ht="28.5" hidden="1" customHeight="1">
      <c r="A163" s="147">
        <f t="shared" si="14"/>
        <v>0</v>
      </c>
      <c r="B163" s="147"/>
      <c r="C163" s="147"/>
      <c r="D163" s="147"/>
      <c r="E163" s="147"/>
      <c r="F163" s="148">
        <f t="shared" si="15"/>
        <v>0</v>
      </c>
      <c r="G163" s="148"/>
      <c r="H163" s="24" t="e">
        <f t="shared" si="16"/>
        <v>#N/A</v>
      </c>
      <c r="I163" s="149" t="e">
        <f>VLOOKUP(A163,$A$28:$J$72,9,FALSE)</f>
        <v>#N/A</v>
      </c>
      <c r="J163" s="149"/>
      <c r="M163" s="22" t="s">
        <v>71</v>
      </c>
      <c r="N163" s="1">
        <v>0</v>
      </c>
    </row>
    <row r="164" spans="1:14" ht="28.5" hidden="1" customHeight="1">
      <c r="A164" s="147">
        <f t="shared" ref="A164:A187" si="18">IF(N164&gt;0,N164,0)</f>
        <v>0</v>
      </c>
      <c r="B164" s="147"/>
      <c r="C164" s="147"/>
      <c r="D164" s="147"/>
      <c r="E164" s="147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9" t="e">
        <f t="shared" ref="I164:I187" si="20">VLOOKUP(A164,$A$28:$J$72,9,FALSE)</f>
        <v>#N/A</v>
      </c>
      <c r="J164" s="149"/>
      <c r="M164" s="22" t="s">
        <v>71</v>
      </c>
      <c r="N164" s="1">
        <v>0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48">
        <f t="shared" si="19"/>
        <v>0</v>
      </c>
      <c r="G165" s="148"/>
      <c r="H165" s="29" t="e">
        <f t="shared" si="16"/>
        <v>#N/A</v>
      </c>
      <c r="I165" s="149" t="e">
        <f t="shared" si="20"/>
        <v>#N/A</v>
      </c>
      <c r="J165" s="149"/>
      <c r="M165" s="22" t="s">
        <v>71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48">
        <f t="shared" si="19"/>
        <v>0</v>
      </c>
      <c r="G166" s="148"/>
      <c r="H166" s="29" t="e">
        <f t="shared" si="16"/>
        <v>#N/A</v>
      </c>
      <c r="I166" s="149" t="e">
        <f t="shared" si="20"/>
        <v>#N/A</v>
      </c>
      <c r="J166" s="149"/>
      <c r="M166" s="22" t="s">
        <v>71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48">
        <f t="shared" si="19"/>
        <v>0</v>
      </c>
      <c r="G167" s="148"/>
      <c r="H167" s="29" t="e">
        <f t="shared" si="16"/>
        <v>#N/A</v>
      </c>
      <c r="I167" s="149" t="e">
        <f t="shared" si="20"/>
        <v>#N/A</v>
      </c>
      <c r="J167" s="149"/>
      <c r="M167" s="22" t="s">
        <v>71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48">
        <f t="shared" si="19"/>
        <v>0</v>
      </c>
      <c r="G168" s="148"/>
      <c r="H168" s="29" t="e">
        <f t="shared" si="16"/>
        <v>#N/A</v>
      </c>
      <c r="I168" s="149" t="e">
        <f t="shared" si="20"/>
        <v>#N/A</v>
      </c>
      <c r="J168" s="149"/>
      <c r="M168" s="22" t="s">
        <v>71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48">
        <f t="shared" si="19"/>
        <v>0</v>
      </c>
      <c r="G169" s="148"/>
      <c r="H169" s="29" t="e">
        <f t="shared" si="16"/>
        <v>#N/A</v>
      </c>
      <c r="I169" s="149" t="e">
        <f t="shared" si="20"/>
        <v>#N/A</v>
      </c>
      <c r="J169" s="149"/>
      <c r="M169" s="22" t="s">
        <v>71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48">
        <f t="shared" si="19"/>
        <v>0</v>
      </c>
      <c r="G170" s="148"/>
      <c r="H170" s="29" t="e">
        <f t="shared" si="16"/>
        <v>#N/A</v>
      </c>
      <c r="I170" s="149" t="e">
        <f t="shared" si="20"/>
        <v>#N/A</v>
      </c>
      <c r="J170" s="149"/>
      <c r="M170" s="22" t="s">
        <v>71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48">
        <f t="shared" si="19"/>
        <v>0</v>
      </c>
      <c r="G171" s="148"/>
      <c r="H171" s="29" t="e">
        <f t="shared" si="16"/>
        <v>#N/A</v>
      </c>
      <c r="I171" s="149" t="e">
        <f t="shared" si="20"/>
        <v>#N/A</v>
      </c>
      <c r="J171" s="149"/>
      <c r="M171" s="22" t="s">
        <v>71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48">
        <f t="shared" si="19"/>
        <v>0</v>
      </c>
      <c r="G172" s="148"/>
      <c r="H172" s="29" t="e">
        <f t="shared" si="16"/>
        <v>#N/A</v>
      </c>
      <c r="I172" s="149" t="e">
        <f t="shared" si="20"/>
        <v>#N/A</v>
      </c>
      <c r="J172" s="149"/>
      <c r="M172" s="22" t="s">
        <v>71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48">
        <f t="shared" si="19"/>
        <v>0</v>
      </c>
      <c r="G173" s="148"/>
      <c r="H173" s="29" t="e">
        <f t="shared" si="16"/>
        <v>#N/A</v>
      </c>
      <c r="I173" s="149" t="e">
        <f t="shared" si="20"/>
        <v>#N/A</v>
      </c>
      <c r="J173" s="149"/>
      <c r="M173" s="22" t="s">
        <v>71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48">
        <f t="shared" si="19"/>
        <v>0</v>
      </c>
      <c r="G174" s="148"/>
      <c r="H174" s="29" t="e">
        <f t="shared" si="16"/>
        <v>#N/A</v>
      </c>
      <c r="I174" s="149" t="e">
        <f t="shared" si="20"/>
        <v>#N/A</v>
      </c>
      <c r="J174" s="149"/>
      <c r="M174" s="22" t="s">
        <v>71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48">
        <f t="shared" si="19"/>
        <v>0</v>
      </c>
      <c r="G175" s="148"/>
      <c r="H175" s="29" t="e">
        <f t="shared" si="16"/>
        <v>#N/A</v>
      </c>
      <c r="I175" s="149" t="e">
        <f t="shared" si="20"/>
        <v>#N/A</v>
      </c>
      <c r="J175" s="149"/>
      <c r="M175" s="22" t="s">
        <v>71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48">
        <f t="shared" si="19"/>
        <v>0</v>
      </c>
      <c r="G176" s="148"/>
      <c r="H176" s="29" t="e">
        <f t="shared" si="16"/>
        <v>#N/A</v>
      </c>
      <c r="I176" s="149" t="e">
        <f t="shared" si="20"/>
        <v>#N/A</v>
      </c>
      <c r="J176" s="149"/>
      <c r="M176" s="22" t="s">
        <v>71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48">
        <f t="shared" si="19"/>
        <v>0</v>
      </c>
      <c r="G177" s="148"/>
      <c r="H177" s="29" t="e">
        <f t="shared" si="16"/>
        <v>#N/A</v>
      </c>
      <c r="I177" s="149" t="e">
        <f t="shared" si="20"/>
        <v>#N/A</v>
      </c>
      <c r="J177" s="149"/>
      <c r="M177" s="22" t="s">
        <v>71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48">
        <f t="shared" si="19"/>
        <v>0</v>
      </c>
      <c r="G178" s="148"/>
      <c r="H178" s="29" t="e">
        <f t="shared" si="16"/>
        <v>#N/A</v>
      </c>
      <c r="I178" s="149" t="e">
        <f t="shared" si="20"/>
        <v>#N/A</v>
      </c>
      <c r="J178" s="149"/>
      <c r="M178" s="22" t="s">
        <v>71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48">
        <f t="shared" si="19"/>
        <v>0</v>
      </c>
      <c r="G179" s="148"/>
      <c r="H179" s="29" t="e">
        <f t="shared" si="16"/>
        <v>#N/A</v>
      </c>
      <c r="I179" s="149" t="e">
        <f t="shared" si="20"/>
        <v>#N/A</v>
      </c>
      <c r="J179" s="149"/>
      <c r="M179" s="22" t="s">
        <v>71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48">
        <f t="shared" si="19"/>
        <v>0</v>
      </c>
      <c r="G180" s="148"/>
      <c r="H180" s="29" t="e">
        <f t="shared" si="16"/>
        <v>#N/A</v>
      </c>
      <c r="I180" s="149" t="e">
        <f t="shared" si="20"/>
        <v>#N/A</v>
      </c>
      <c r="J180" s="149"/>
      <c r="M180" s="22" t="s">
        <v>71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48">
        <f t="shared" si="19"/>
        <v>0</v>
      </c>
      <c r="G181" s="148"/>
      <c r="H181" s="29" t="e">
        <f t="shared" si="16"/>
        <v>#N/A</v>
      </c>
      <c r="I181" s="149" t="e">
        <f t="shared" si="20"/>
        <v>#N/A</v>
      </c>
      <c r="J181" s="149"/>
      <c r="M181" s="22" t="s">
        <v>71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48">
        <f t="shared" si="19"/>
        <v>0</v>
      </c>
      <c r="G182" s="148"/>
      <c r="H182" s="29" t="e">
        <f t="shared" si="16"/>
        <v>#N/A</v>
      </c>
      <c r="I182" s="149" t="e">
        <f t="shared" si="20"/>
        <v>#N/A</v>
      </c>
      <c r="J182" s="149"/>
      <c r="M182" s="22" t="s">
        <v>71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48">
        <f t="shared" si="19"/>
        <v>0</v>
      </c>
      <c r="G183" s="148"/>
      <c r="H183" s="29" t="e">
        <f t="shared" si="16"/>
        <v>#N/A</v>
      </c>
      <c r="I183" s="149" t="e">
        <f t="shared" si="20"/>
        <v>#N/A</v>
      </c>
      <c r="J183" s="149"/>
      <c r="M183" s="22" t="s">
        <v>71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48">
        <f t="shared" si="19"/>
        <v>0</v>
      </c>
      <c r="G184" s="148"/>
      <c r="H184" s="29" t="e">
        <f t="shared" si="16"/>
        <v>#N/A</v>
      </c>
      <c r="I184" s="149" t="e">
        <f t="shared" si="20"/>
        <v>#N/A</v>
      </c>
      <c r="J184" s="149"/>
      <c r="M184" s="22" t="s">
        <v>71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48">
        <f t="shared" si="19"/>
        <v>0</v>
      </c>
      <c r="G185" s="148"/>
      <c r="H185" s="29" t="e">
        <f t="shared" si="16"/>
        <v>#N/A</v>
      </c>
      <c r="I185" s="149" t="e">
        <f t="shared" si="20"/>
        <v>#N/A</v>
      </c>
      <c r="J185" s="149"/>
      <c r="M185" s="22" t="s">
        <v>71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48">
        <f t="shared" si="19"/>
        <v>0</v>
      </c>
      <c r="G186" s="148"/>
      <c r="H186" s="29" t="e">
        <f t="shared" si="16"/>
        <v>#N/A</v>
      </c>
      <c r="I186" s="149" t="e">
        <f t="shared" si="20"/>
        <v>#N/A</v>
      </c>
      <c r="J186" s="149"/>
      <c r="M186" s="22" t="s">
        <v>71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48">
        <f t="shared" si="19"/>
        <v>0</v>
      </c>
      <c r="G187" s="148"/>
      <c r="H187" s="29" t="e">
        <f t="shared" si="16"/>
        <v>#N/A</v>
      </c>
      <c r="I187" s="149" t="e">
        <f t="shared" si="20"/>
        <v>#N/A</v>
      </c>
      <c r="J187" s="149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0" t="s">
        <v>191</v>
      </c>
      <c r="B190" s="150"/>
      <c r="C190" s="150"/>
      <c r="D190" s="150"/>
      <c r="E190" s="27">
        <f>SUM(F158:G187)</f>
        <v>129823.37</v>
      </c>
    </row>
    <row r="191" spans="1:14" ht="51.75" customHeight="1">
      <c r="A191" s="150" t="s">
        <v>190</v>
      </c>
      <c r="B191" s="150"/>
      <c r="C191" s="150"/>
      <c r="D191" s="150"/>
      <c r="E191" s="27">
        <f>E190+E154-E155</f>
        <v>-353094.87800000003</v>
      </c>
    </row>
    <row r="192" spans="1:14">
      <c r="A192" s="104" t="s">
        <v>174</v>
      </c>
    </row>
    <row r="193" spans="1:10" ht="62.25" customHeight="1">
      <c r="A193" s="175" t="s">
        <v>189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4" t="str">
        <f>ПТО!F12</f>
        <v xml:space="preserve">  -  поверка (замена) манометров и термометров</v>
      </c>
      <c r="B194" s="174"/>
      <c r="C194" s="174"/>
      <c r="D194" s="174"/>
      <c r="E194" s="174"/>
      <c r="F194" s="174"/>
      <c r="G194" s="174"/>
      <c r="H194" s="49">
        <f>ПТО!G12</f>
        <v>1200</v>
      </c>
      <c r="I194" s="50" t="s">
        <v>74</v>
      </c>
    </row>
    <row r="195" spans="1:10" ht="18.75" customHeight="1">
      <c r="A195" s="174" t="str">
        <f>ПТО!F13</f>
        <v xml:space="preserve">  -  техническое освидетельствование лифта</v>
      </c>
      <c r="B195" s="174"/>
      <c r="C195" s="174"/>
      <c r="D195" s="174"/>
      <c r="E195" s="174"/>
      <c r="F195" s="174"/>
      <c r="G195" s="174"/>
      <c r="H195" s="49">
        <f>ПТО!G13</f>
        <v>8100</v>
      </c>
      <c r="I195" s="50" t="s">
        <v>74</v>
      </c>
    </row>
    <row r="196" spans="1:10" ht="18.75" customHeight="1">
      <c r="A196" s="174" t="str">
        <f>ПТО!F14</f>
        <v xml:space="preserve">  -  техническое обслуживание охранной сигнализации</v>
      </c>
      <c r="B196" s="174"/>
      <c r="C196" s="174"/>
      <c r="D196" s="174"/>
      <c r="E196" s="174"/>
      <c r="F196" s="174"/>
      <c r="G196" s="174"/>
      <c r="H196" s="49">
        <f>ПТО!G14</f>
        <v>11550</v>
      </c>
      <c r="I196" s="50" t="s">
        <v>74</v>
      </c>
    </row>
    <row r="197" spans="1:10" ht="18.75" customHeight="1">
      <c r="A197" s="174" t="str">
        <f>ПТО!F15</f>
        <v xml:space="preserve">  -  установка системы видеонаблюдения</v>
      </c>
      <c r="B197" s="174"/>
      <c r="C197" s="174"/>
      <c r="D197" s="174"/>
      <c r="E197" s="174"/>
      <c r="F197" s="174"/>
      <c r="G197" s="174"/>
      <c r="H197" s="49">
        <f>ПТО!G15</f>
        <v>60000</v>
      </c>
      <c r="I197" s="50" t="s">
        <v>74</v>
      </c>
    </row>
    <row r="198" spans="1:10" ht="18.75" customHeight="1">
      <c r="A198" s="174" t="str">
        <f>ПТО!F16</f>
        <v xml:space="preserve">  -  механизированная уборка и вывоз снега с придомовой территории</v>
      </c>
      <c r="B198" s="174"/>
      <c r="C198" s="174"/>
      <c r="D198" s="174"/>
      <c r="E198" s="174"/>
      <c r="F198" s="174"/>
      <c r="G198" s="174"/>
      <c r="H198" s="49">
        <f>ПТО!G16</f>
        <v>20000</v>
      </c>
      <c r="I198" s="52" t="s">
        <v>74</v>
      </c>
    </row>
    <row r="199" spans="1:10" ht="38.25" hidden="1" customHeight="1">
      <c r="A199" s="174">
        <f>ПТО!F17</f>
        <v>0</v>
      </c>
      <c r="B199" s="174"/>
      <c r="C199" s="174"/>
      <c r="D199" s="174"/>
      <c r="E199" s="174"/>
      <c r="F199" s="174"/>
      <c r="G199" s="174"/>
      <c r="H199" s="49">
        <f>ПТО!G17</f>
        <v>0</v>
      </c>
      <c r="I199" s="50" t="s">
        <v>74</v>
      </c>
    </row>
    <row r="200" spans="1:10" hidden="1">
      <c r="A200" s="174">
        <f>ПТО!F18</f>
        <v>0</v>
      </c>
      <c r="B200" s="174"/>
      <c r="C200" s="174"/>
      <c r="D200" s="174"/>
      <c r="E200" s="174"/>
      <c r="F200" s="174"/>
      <c r="G200" s="174"/>
      <c r="H200" s="49">
        <f>ПТО!G18</f>
        <v>0</v>
      </c>
      <c r="I200" s="50" t="s">
        <v>74</v>
      </c>
    </row>
    <row r="201" spans="1:10" hidden="1">
      <c r="A201" s="174">
        <f>ПТО!F19</f>
        <v>0</v>
      </c>
      <c r="B201" s="174"/>
      <c r="C201" s="174"/>
      <c r="D201" s="174"/>
      <c r="E201" s="174"/>
      <c r="F201" s="174"/>
      <c r="G201" s="174"/>
      <c r="H201" s="49">
        <f>ПТО!G19</f>
        <v>0</v>
      </c>
      <c r="I201" s="50" t="s">
        <v>74</v>
      </c>
    </row>
    <row r="202" spans="1:10" hidden="1">
      <c r="A202" s="174">
        <f>ПТО!F20</f>
        <v>0</v>
      </c>
      <c r="B202" s="174"/>
      <c r="C202" s="174"/>
      <c r="D202" s="174"/>
      <c r="E202" s="174"/>
      <c r="F202" s="174"/>
      <c r="G202" s="174"/>
      <c r="H202" s="49">
        <f>ПТО!G20</f>
        <v>0</v>
      </c>
      <c r="I202" s="50" t="s">
        <v>74</v>
      </c>
    </row>
    <row r="203" spans="1:10" hidden="1">
      <c r="A203" s="174">
        <f>ПТО!F21</f>
        <v>0</v>
      </c>
      <c r="B203" s="174"/>
      <c r="C203" s="174"/>
      <c r="D203" s="174"/>
      <c r="E203" s="174"/>
      <c r="F203" s="174"/>
      <c r="G203" s="174"/>
      <c r="H203" s="49">
        <f>ПТО!G21</f>
        <v>0</v>
      </c>
      <c r="I203" s="50" t="s">
        <v>74</v>
      </c>
    </row>
    <row r="204" spans="1:10" hidden="1">
      <c r="A204" s="174">
        <f>ПТО!F22</f>
        <v>0</v>
      </c>
      <c r="B204" s="174"/>
      <c r="C204" s="174"/>
      <c r="D204" s="174"/>
      <c r="E204" s="174"/>
      <c r="F204" s="174"/>
      <c r="G204" s="174"/>
      <c r="H204" s="49">
        <f>ПТО!G22</f>
        <v>0</v>
      </c>
      <c r="I204" s="50" t="s">
        <v>74</v>
      </c>
    </row>
    <row r="205" spans="1:10" hidden="1">
      <c r="A205" s="174">
        <f>ПТО!F23</f>
        <v>0</v>
      </c>
      <c r="B205" s="174"/>
      <c r="C205" s="174"/>
      <c r="D205" s="174"/>
      <c r="E205" s="174"/>
      <c r="F205" s="174"/>
      <c r="G205" s="174"/>
      <c r="H205" s="49">
        <f>ПТО!G23</f>
        <v>0</v>
      </c>
      <c r="I205" s="50" t="s">
        <v>74</v>
      </c>
    </row>
    <row r="206" spans="1:10" hidden="1">
      <c r="A206" s="174">
        <f>ПТО!F24</f>
        <v>0</v>
      </c>
      <c r="B206" s="174"/>
      <c r="C206" s="174"/>
      <c r="D206" s="174"/>
      <c r="E206" s="174"/>
      <c r="F206" s="174"/>
      <c r="G206" s="174"/>
      <c r="H206" s="49">
        <f>ПТО!G24</f>
        <v>0</v>
      </c>
      <c r="I206" s="50" t="s">
        <v>74</v>
      </c>
    </row>
    <row r="207" spans="1:10" hidden="1">
      <c r="A207" s="174">
        <f>ПТО!F25</f>
        <v>0</v>
      </c>
      <c r="B207" s="174"/>
      <c r="C207" s="174"/>
      <c r="D207" s="174"/>
      <c r="E207" s="174"/>
      <c r="F207" s="174"/>
      <c r="G207" s="174"/>
      <c r="H207" s="49">
        <f>ПТО!G25</f>
        <v>0</v>
      </c>
      <c r="I207" s="50" t="s">
        <v>74</v>
      </c>
    </row>
    <row r="208" spans="1:10" hidden="1">
      <c r="A208" s="174">
        <f>ПТО!F26</f>
        <v>0</v>
      </c>
      <c r="B208" s="174"/>
      <c r="C208" s="174"/>
      <c r="D208" s="174"/>
      <c r="E208" s="174"/>
      <c r="F208" s="174"/>
      <c r="G208" s="174"/>
      <c r="H208" s="49">
        <f>ПТО!G26</f>
        <v>0</v>
      </c>
      <c r="I208" s="50" t="s">
        <v>74</v>
      </c>
    </row>
    <row r="209" spans="1:9" hidden="1">
      <c r="A209" s="174">
        <f>ПТО!F27</f>
        <v>0</v>
      </c>
      <c r="B209" s="174"/>
      <c r="C209" s="174"/>
      <c r="D209" s="174"/>
      <c r="E209" s="174"/>
      <c r="F209" s="174"/>
      <c r="G209" s="174"/>
      <c r="H209" s="49">
        <f>ПТО!G27</f>
        <v>0</v>
      </c>
      <c r="I209" s="50" t="s">
        <v>74</v>
      </c>
    </row>
    <row r="210" spans="1:9" hidden="1">
      <c r="A210" s="174">
        <f>ПТО!F28</f>
        <v>0</v>
      </c>
      <c r="B210" s="174"/>
      <c r="C210" s="174"/>
      <c r="D210" s="174"/>
      <c r="E210" s="174"/>
      <c r="F210" s="174"/>
      <c r="G210" s="174"/>
      <c r="H210" s="49">
        <f>ПТО!G28</f>
        <v>0</v>
      </c>
      <c r="I210" s="50" t="s">
        <v>74</v>
      </c>
    </row>
    <row r="211" spans="1:9" hidden="1">
      <c r="A211" s="174">
        <f>ПТО!F29</f>
        <v>0</v>
      </c>
      <c r="B211" s="174"/>
      <c r="C211" s="174"/>
      <c r="D211" s="174"/>
      <c r="E211" s="174"/>
      <c r="F211" s="174"/>
      <c r="G211" s="174"/>
      <c r="H211" s="49">
        <f>ПТО!G29</f>
        <v>0</v>
      </c>
      <c r="I211" s="50" t="s">
        <v>74</v>
      </c>
    </row>
    <row r="212" spans="1:9" hidden="1">
      <c r="A212" s="174">
        <f>ПТО!F30</f>
        <v>0</v>
      </c>
      <c r="B212" s="174"/>
      <c r="C212" s="174"/>
      <c r="D212" s="174"/>
      <c r="E212" s="174"/>
      <c r="F212" s="174"/>
      <c r="G212" s="174"/>
      <c r="H212" s="49">
        <f>ПТО!G30</f>
        <v>0</v>
      </c>
      <c r="I212" s="50" t="s">
        <v>74</v>
      </c>
    </row>
    <row r="213" spans="1:9" hidden="1">
      <c r="A213" s="174">
        <f>ПТО!F31</f>
        <v>0</v>
      </c>
      <c r="B213" s="174"/>
      <c r="C213" s="174"/>
      <c r="D213" s="174"/>
      <c r="E213" s="174"/>
      <c r="F213" s="174"/>
      <c r="G213" s="17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100850</v>
      </c>
      <c r="I214" s="56" t="s">
        <v>77</v>
      </c>
    </row>
  </sheetData>
  <sheetProtection algorithmName="SHA-512" hashValue="PQUBmWJVnoQQAjJoBN3WOB8xrIM2J7cn5k1DqXdW7NGjsGtOvd5zReLLoadZkRVuGitrC07NwvaV0SS55rbSoQ==" saltValue="wrqEEBaWFLLfn6JY6xDVkw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3" sqref="D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193</v>
      </c>
      <c r="G1" s="101">
        <f>-353709.64</f>
        <v>-353709.64</v>
      </c>
    </row>
    <row r="2" spans="1:12" ht="18.75" customHeight="1">
      <c r="A2" s="141" t="s">
        <v>72</v>
      </c>
      <c r="B2" s="142" t="s">
        <v>180</v>
      </c>
      <c r="C2" s="142">
        <v>1</v>
      </c>
      <c r="D2" s="143">
        <v>8100</v>
      </c>
      <c r="E2" s="144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1" t="s">
        <v>179</v>
      </c>
      <c r="B3" s="142" t="s">
        <v>181</v>
      </c>
      <c r="C3" s="145">
        <v>12</v>
      </c>
      <c r="D3" s="146">
        <f>1750*12*0.55</f>
        <v>11550.000000000002</v>
      </c>
      <c r="E3" s="144" t="s">
        <v>200</v>
      </c>
      <c r="F3" s="30"/>
      <c r="G3" s="30"/>
      <c r="L3" s="33" t="str">
        <f t="shared" si="0"/>
        <v>ТР</v>
      </c>
    </row>
    <row r="4" spans="1:12" ht="18.75" customHeight="1">
      <c r="A4" s="118" t="s">
        <v>187</v>
      </c>
      <c r="B4" s="119" t="s">
        <v>188</v>
      </c>
      <c r="C4" s="119">
        <v>1</v>
      </c>
      <c r="D4" s="121">
        <v>23167</v>
      </c>
      <c r="E4" s="122" t="s">
        <v>194</v>
      </c>
      <c r="F4" s="30"/>
      <c r="G4" s="30"/>
      <c r="L4" s="33" t="str">
        <f t="shared" si="0"/>
        <v>ТР</v>
      </c>
    </row>
    <row r="5" spans="1:12" ht="18.75" customHeight="1">
      <c r="A5" s="118" t="s">
        <v>195</v>
      </c>
      <c r="B5" s="119" t="s">
        <v>188</v>
      </c>
      <c r="C5" s="120">
        <v>1</v>
      </c>
      <c r="D5" s="121">
        <v>29760</v>
      </c>
      <c r="E5" s="122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18" t="s">
        <v>197</v>
      </c>
      <c r="B6" s="119" t="s">
        <v>188</v>
      </c>
      <c r="C6" s="120">
        <v>1</v>
      </c>
      <c r="D6" s="121">
        <v>57246.37</v>
      </c>
      <c r="E6" s="122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9"/>
      <c r="B7" s="130"/>
      <c r="C7" s="131"/>
      <c r="D7" s="46"/>
      <c r="E7" s="132"/>
      <c r="F7" s="45"/>
      <c r="G7" s="45"/>
      <c r="K7" s="46"/>
      <c r="L7" s="33">
        <f t="shared" si="0"/>
        <v>0</v>
      </c>
    </row>
    <row r="8" spans="1:12" ht="18.75" customHeight="1">
      <c r="A8" s="133"/>
      <c r="B8" s="134"/>
      <c r="C8" s="135"/>
      <c r="D8" s="43"/>
      <c r="E8" s="136"/>
      <c r="F8" s="45"/>
      <c r="G8" s="45"/>
      <c r="K8" s="43"/>
      <c r="L8" s="33">
        <f t="shared" si="0"/>
        <v>0</v>
      </c>
    </row>
    <row r="9" spans="1:12">
      <c r="A9" s="123"/>
      <c r="B9" s="124"/>
      <c r="C9" s="119"/>
      <c r="D9" s="46"/>
      <c r="F9" s="44"/>
      <c r="G9" s="44"/>
      <c r="K9" s="43"/>
      <c r="L9" s="33">
        <f t="shared" si="0"/>
        <v>0</v>
      </c>
    </row>
    <row r="10" spans="1:12">
      <c r="A10" s="125"/>
      <c r="B10" s="126"/>
      <c r="C10" s="127"/>
      <c r="D10" s="128"/>
      <c r="E10" s="122"/>
      <c r="L10" s="33">
        <f t="shared" si="0"/>
        <v>0</v>
      </c>
    </row>
    <row r="11" spans="1:12" ht="94.5">
      <c r="A11" s="30"/>
      <c r="F11" s="111" t="s">
        <v>189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13">
        <v>11550</v>
      </c>
      <c r="L14" s="33">
        <f t="shared" si="0"/>
        <v>0</v>
      </c>
    </row>
    <row r="15" spans="1:12" ht="31.5">
      <c r="A15" s="30"/>
      <c r="F15" s="112" t="s">
        <v>185</v>
      </c>
      <c r="G15" s="113">
        <v>60000</v>
      </c>
      <c r="L15" s="33">
        <f t="shared" si="0"/>
        <v>0</v>
      </c>
    </row>
    <row r="16" spans="1:12" ht="31.5">
      <c r="A16" s="30"/>
      <c r="F16" s="112" t="s">
        <v>186</v>
      </c>
      <c r="G16" s="140">
        <v>20000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7">
        <v>125664.95999999999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125664.95999999999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17">
        <v>108764.16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108764.16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35982.120000000003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35982.120000000003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32711.040000000001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32711.040000000001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10903.68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10903.68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7">
        <v>50429.520000000004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50429.520000000004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53973.240000000005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53973.240000000005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8"/>
      <c r="E47" s="137">
        <v>704.9</v>
      </c>
      <c r="F47" s="137">
        <v>345.3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Xj1h24Q59rTrFVjcI8oZpRVLiZnaByk7EZ+54+E9iVL9Y3CzCJBHbFlUu+Y3DYygt5wt4r/fDM1yU1+W9fp1g==" saltValue="pbP2+vfC/amzD+327vxOw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2271.6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418077.16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547637.44800000009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418428.84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129208.60800000001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554698.42000000004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554698.42000000004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554698.42000000004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411016.18799999997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105</v>
      </c>
      <c r="B27" s="75" t="s">
        <v>3</v>
      </c>
      <c r="C27" s="86">
        <v>53948.04</v>
      </c>
      <c r="D27" s="81" t="s">
        <v>59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108</v>
      </c>
      <c r="B30" s="75" t="s">
        <v>17</v>
      </c>
      <c r="C30" s="86">
        <v>54250.25</v>
      </c>
      <c r="D30" s="81" t="s">
        <v>65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172007.86</v>
      </c>
      <c r="F37" s="94" t="s">
        <v>167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126476.37</v>
      </c>
      <c r="D38" s="94" t="s">
        <v>165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173778.81</v>
      </c>
      <c r="D39" s="94" t="s">
        <v>166</v>
      </c>
      <c r="E39" s="139"/>
      <c r="G39" s="67"/>
      <c r="H39" s="67"/>
      <c r="L39" s="63"/>
      <c r="M39" s="176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139"/>
      <c r="G40" s="67"/>
      <c r="H40" s="67"/>
      <c r="L40" s="63"/>
      <c r="M40" s="176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172007.86</v>
      </c>
      <c r="D41" s="80" t="s">
        <v>58</v>
      </c>
      <c r="E41" s="139"/>
      <c r="G41" s="67"/>
      <c r="H41" s="67"/>
      <c r="L41" s="63"/>
      <c r="M41" s="176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172007.86</v>
      </c>
      <c r="D42" s="80" t="s">
        <v>58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95055.52</v>
      </c>
      <c r="F45" s="94" t="s">
        <v>167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6524.06</v>
      </c>
      <c r="D46" s="94" t="s">
        <v>168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93628.52</v>
      </c>
      <c r="D47" s="94" t="s">
        <v>166</v>
      </c>
      <c r="E47" s="68"/>
      <c r="G47" s="67"/>
      <c r="H47" s="67"/>
      <c r="L47" s="63"/>
      <c r="M47" s="176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1427</v>
      </c>
      <c r="D48" s="80" t="s">
        <v>58</v>
      </c>
      <c r="E48" s="68"/>
      <c r="G48" s="67"/>
      <c r="H48" s="67"/>
      <c r="L48" s="63"/>
      <c r="M48" s="176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95055.52</v>
      </c>
      <c r="D49" s="80" t="s">
        <v>58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95055.52</v>
      </c>
      <c r="D50" s="80" t="s">
        <v>58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115892.03</v>
      </c>
      <c r="F53" s="94" t="s">
        <v>167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6543.88</v>
      </c>
      <c r="D54" s="94" t="s">
        <v>168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114322.31</v>
      </c>
      <c r="D55" s="94" t="s">
        <v>166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1569.7200000000012</v>
      </c>
      <c r="D56" s="80" t="s">
        <v>58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115892.03</v>
      </c>
      <c r="D57" s="80" t="s">
        <v>58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115892.03</v>
      </c>
      <c r="D58" s="80" t="s">
        <v>58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108804.48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201.34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109728.04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108804.48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108804.48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11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87123.9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2024-03-28T05:23:36Z</dcterms:modified>
</cp:coreProperties>
</file>