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Отчет!$A$1:$J$227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A77" i="1" l="1"/>
  <c r="O77" i="1" s="1"/>
  <c r="A76" i="1"/>
  <c r="I76" i="1" s="1"/>
  <c r="A75" i="1"/>
  <c r="I75" i="1" s="1"/>
  <c r="A74" i="1"/>
  <c r="H74" i="1" s="1"/>
  <c r="A73" i="1"/>
  <c r="H73" i="1" s="1"/>
  <c r="L36" i="2"/>
  <c r="L35" i="2"/>
  <c r="L34" i="2"/>
  <c r="L33" i="2"/>
  <c r="L32" i="2"/>
  <c r="O74" i="1" l="1"/>
  <c r="O76" i="1"/>
  <c r="H77" i="1"/>
  <c r="I73" i="1"/>
  <c r="H75" i="1"/>
  <c r="I77" i="1"/>
  <c r="O75" i="1"/>
  <c r="F74" i="1"/>
  <c r="H76" i="1"/>
  <c r="F75" i="1"/>
  <c r="F73" i="1"/>
  <c r="F77" i="1"/>
  <c r="F76" i="1"/>
  <c r="I74" i="1"/>
  <c r="O73" i="1"/>
  <c r="G1" i="2"/>
  <c r="D2" i="2" l="1"/>
  <c r="H62" i="2" l="1"/>
  <c r="H63" i="2" s="1"/>
  <c r="H64" i="2" s="1"/>
  <c r="H58" i="2"/>
  <c r="H59" i="2" s="1"/>
  <c r="H60" i="2" s="1"/>
  <c r="H52" i="2"/>
  <c r="H53" i="2" s="1"/>
  <c r="C7" i="3" l="1"/>
  <c r="J146" i="1" l="1"/>
  <c r="J141" i="1"/>
  <c r="J140" i="1"/>
  <c r="G139" i="1"/>
  <c r="J138" i="1"/>
  <c r="J133" i="1"/>
  <c r="J132" i="1"/>
  <c r="G131" i="1"/>
  <c r="C37" i="3"/>
  <c r="A105" i="1" s="1"/>
  <c r="C45" i="3"/>
  <c r="A113" i="1" s="1"/>
  <c r="C53" i="3"/>
  <c r="A121" i="1" s="1"/>
  <c r="C61" i="3"/>
  <c r="A127" i="1" s="1"/>
  <c r="C77" i="3"/>
  <c r="A145" i="1" s="1"/>
  <c r="C69" i="3"/>
  <c r="A137" i="1" s="1"/>
  <c r="J130" i="1"/>
  <c r="J125" i="1"/>
  <c r="J124" i="1"/>
  <c r="G123" i="1"/>
  <c r="J122" i="1"/>
  <c r="J117" i="1"/>
  <c r="J116" i="1"/>
  <c r="G115" i="1"/>
  <c r="J114" i="1"/>
  <c r="J109" i="1"/>
  <c r="J108" i="1"/>
  <c r="A114" i="1"/>
  <c r="A110" i="1"/>
  <c r="G107" i="1"/>
  <c r="F107" i="1"/>
  <c r="J106" i="1"/>
  <c r="J101" i="1"/>
  <c r="J100" i="1"/>
  <c r="A106" i="1"/>
  <c r="A103" i="1"/>
  <c r="A102" i="1"/>
  <c r="G99" i="1"/>
  <c r="F99" i="1"/>
  <c r="K99" i="1"/>
  <c r="A118" i="1" l="1"/>
  <c r="A99" i="1"/>
  <c r="A100" i="1"/>
  <c r="A104" i="1"/>
  <c r="D99" i="1"/>
  <c r="A101" i="1"/>
  <c r="A124" i="1"/>
  <c r="A119" i="1"/>
  <c r="A128" i="1"/>
  <c r="F115" i="1"/>
  <c r="A122" i="1"/>
  <c r="A123" i="1"/>
  <c r="A125" i="1"/>
  <c r="A115" i="1"/>
  <c r="A116" i="1"/>
  <c r="A120" i="1"/>
  <c r="F123" i="1"/>
  <c r="A126" i="1"/>
  <c r="A130" i="1"/>
  <c r="D123" i="1"/>
  <c r="A129" i="1"/>
  <c r="D115" i="1"/>
  <c r="A117" i="1"/>
  <c r="A146" i="1"/>
  <c r="F139" i="1"/>
  <c r="A142" i="1"/>
  <c r="A111" i="1"/>
  <c r="A143" i="1"/>
  <c r="A107" i="1"/>
  <c r="A108" i="1"/>
  <c r="A112" i="1"/>
  <c r="A139" i="1"/>
  <c r="A140" i="1"/>
  <c r="A144" i="1"/>
  <c r="D107" i="1"/>
  <c r="A109" i="1"/>
  <c r="D139" i="1"/>
  <c r="A141" i="1"/>
  <c r="A132" i="1"/>
  <c r="A134" i="1"/>
  <c r="A138" i="1"/>
  <c r="A135" i="1"/>
  <c r="D131" i="1"/>
  <c r="A136" i="1"/>
  <c r="F131" i="1"/>
  <c r="A133" i="1"/>
  <c r="A131" i="1"/>
  <c r="H218" i="1"/>
  <c r="H224" i="1"/>
  <c r="H223" i="1"/>
  <c r="H222" i="1"/>
  <c r="H221" i="1"/>
  <c r="H220" i="1"/>
  <c r="H219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H205" i="1"/>
  <c r="A205" i="1"/>
  <c r="L2" i="2"/>
  <c r="L3" i="2"/>
  <c r="L4" i="2"/>
  <c r="L5" i="2"/>
  <c r="L6" i="2"/>
  <c r="L7" i="2"/>
  <c r="L8" i="2"/>
  <c r="E159" i="1"/>
  <c r="J151" i="1"/>
  <c r="J150" i="1"/>
  <c r="J149" i="1"/>
  <c r="J95" i="1"/>
  <c r="J94" i="1"/>
  <c r="J93" i="1"/>
  <c r="J92" i="1"/>
  <c r="J91" i="1"/>
  <c r="J90" i="1"/>
  <c r="J89" i="1"/>
  <c r="J88" i="1"/>
  <c r="J87" i="1"/>
  <c r="J86" i="1"/>
  <c r="J83" i="1"/>
  <c r="J82" i="1"/>
  <c r="J81" i="1"/>
  <c r="J80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44" i="1" s="1"/>
  <c r="C81" i="3"/>
  <c r="J143" i="1" s="1"/>
  <c r="C80" i="3"/>
  <c r="J142" i="1" s="1"/>
  <c r="C74" i="3"/>
  <c r="J136" i="1" s="1"/>
  <c r="C73" i="3"/>
  <c r="J135" i="1" s="1"/>
  <c r="C72" i="3"/>
  <c r="J134" i="1" s="1"/>
  <c r="C66" i="3"/>
  <c r="J128" i="1" s="1"/>
  <c r="C65" i="3"/>
  <c r="J127" i="1" s="1"/>
  <c r="C64" i="3"/>
  <c r="J126" i="1" s="1"/>
  <c r="C58" i="3"/>
  <c r="J120" i="1" s="1"/>
  <c r="C57" i="3"/>
  <c r="J119" i="1" s="1"/>
  <c r="C56" i="3"/>
  <c r="J118" i="1" s="1"/>
  <c r="C50" i="3"/>
  <c r="J112" i="1" s="1"/>
  <c r="C49" i="3"/>
  <c r="C48" i="3"/>
  <c r="J110" i="1" s="1"/>
  <c r="C42" i="3"/>
  <c r="J104" i="1" s="1"/>
  <c r="C41" i="3"/>
  <c r="J103" i="1" s="1"/>
  <c r="C40" i="3"/>
  <c r="J102" i="1" s="1"/>
  <c r="C9" i="3"/>
  <c r="J15" i="1" s="1"/>
  <c r="C5" i="3"/>
  <c r="J11" i="1" s="1"/>
  <c r="C59" i="3" l="1"/>
  <c r="J121" i="1" s="1"/>
  <c r="C51" i="3"/>
  <c r="J113" i="1" s="1"/>
  <c r="J111" i="1"/>
  <c r="H225" i="1"/>
  <c r="C67" i="3"/>
  <c r="J129" i="1" s="1"/>
  <c r="C75" i="3"/>
  <c r="J137" i="1" s="1"/>
  <c r="C83" i="3"/>
  <c r="J145" i="1" s="1"/>
  <c r="C43" i="3"/>
  <c r="J105" i="1" s="1"/>
  <c r="C16" i="3"/>
  <c r="C15" i="3"/>
  <c r="J21" i="1" s="1"/>
  <c r="C18" i="3" l="1"/>
  <c r="J24" i="1" s="1"/>
  <c r="J22" i="1"/>
  <c r="N161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63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64" i="1" l="1"/>
  <c r="N168" i="1"/>
  <c r="N184" i="1"/>
  <c r="N171" i="1"/>
  <c r="N174" i="1"/>
  <c r="N194" i="1"/>
  <c r="N187" i="1"/>
  <c r="N197" i="1"/>
  <c r="A197" i="1" s="1"/>
  <c r="I197" i="1" s="1"/>
  <c r="N172" i="1"/>
  <c r="N165" i="1"/>
  <c r="N185" i="1"/>
  <c r="N188" i="1"/>
  <c r="N175" i="1"/>
  <c r="N191" i="1"/>
  <c r="N195" i="1"/>
  <c r="A195" i="1" s="1"/>
  <c r="F195" i="1" s="1"/>
  <c r="N193" i="1"/>
  <c r="A193" i="1" s="1"/>
  <c r="H193" i="1" s="1"/>
  <c r="N173" i="1"/>
  <c r="N182" i="1"/>
  <c r="N163" i="1"/>
  <c r="N179" i="1"/>
  <c r="N189" i="1"/>
  <c r="N181" i="1"/>
  <c r="N190" i="1"/>
  <c r="N176" i="1"/>
  <c r="N192" i="1"/>
  <c r="N167" i="1"/>
  <c r="N183" i="1"/>
  <c r="N169" i="1"/>
  <c r="N178" i="1"/>
  <c r="N170" i="1"/>
  <c r="N180" i="1"/>
  <c r="N196" i="1"/>
  <c r="A196" i="1" s="1"/>
  <c r="F196" i="1" s="1"/>
  <c r="N177" i="1"/>
  <c r="N186" i="1"/>
  <c r="N166" i="1"/>
  <c r="A194" i="1"/>
  <c r="I194" i="1" s="1"/>
  <c r="O28" i="1"/>
  <c r="I196" i="1" l="1"/>
  <c r="H196" i="1"/>
  <c r="F193" i="1"/>
  <c r="H194" i="1"/>
  <c r="I195" i="1"/>
  <c r="F194" i="1"/>
  <c r="H195" i="1"/>
  <c r="I193" i="1"/>
  <c r="F197" i="1"/>
  <c r="H197" i="1"/>
  <c r="A178" i="1"/>
  <c r="I178" i="1" s="1"/>
  <c r="A183" i="1"/>
  <c r="I183" i="1" s="1"/>
  <c r="A174" i="1"/>
  <c r="I174" i="1" s="1"/>
  <c r="A181" i="1"/>
  <c r="I181" i="1" s="1"/>
  <c r="A172" i="1"/>
  <c r="I172" i="1" s="1"/>
  <c r="A167" i="1"/>
  <c r="A184" i="1"/>
  <c r="I184" i="1" s="1"/>
  <c r="A186" i="1"/>
  <c r="I186" i="1" s="1"/>
  <c r="A164" i="1"/>
  <c r="A170" i="1"/>
  <c r="I170" i="1" s="1"/>
  <c r="A190" i="1"/>
  <c r="F190" i="1" s="1"/>
  <c r="A189" i="1"/>
  <c r="F189" i="1" s="1"/>
  <c r="A180" i="1"/>
  <c r="I180" i="1" s="1"/>
  <c r="A187" i="1"/>
  <c r="I187" i="1" s="1"/>
  <c r="A177" i="1"/>
  <c r="I177" i="1" s="1"/>
  <c r="A168" i="1"/>
  <c r="A175" i="1"/>
  <c r="I175" i="1" s="1"/>
  <c r="A166" i="1"/>
  <c r="A171" i="1"/>
  <c r="I171" i="1" s="1"/>
  <c r="A191" i="1"/>
  <c r="F191" i="1" s="1"/>
  <c r="A169" i="1"/>
  <c r="I169" i="1" s="1"/>
  <c r="A188" i="1"/>
  <c r="F188" i="1" s="1"/>
  <c r="A165" i="1"/>
  <c r="A179" i="1"/>
  <c r="I179" i="1" s="1"/>
  <c r="A163" i="1"/>
  <c r="A182" i="1"/>
  <c r="I182" i="1" s="1"/>
  <c r="A185" i="1"/>
  <c r="I185" i="1" s="1"/>
  <c r="A173" i="1"/>
  <c r="I173" i="1" s="1"/>
  <c r="A192" i="1"/>
  <c r="F192" i="1" s="1"/>
  <c r="A176" i="1"/>
  <c r="I176" i="1" s="1"/>
  <c r="E160" i="1"/>
  <c r="H190" i="1" l="1"/>
  <c r="I190" i="1"/>
  <c r="H191" i="1"/>
  <c r="I191" i="1"/>
  <c r="H189" i="1"/>
  <c r="I189" i="1"/>
  <c r="I192" i="1"/>
  <c r="H192" i="1"/>
  <c r="H188" i="1"/>
  <c r="I188" i="1"/>
  <c r="H169" i="1"/>
  <c r="H178" i="1"/>
  <c r="H171" i="1"/>
  <c r="H175" i="1"/>
  <c r="F173" i="1"/>
  <c r="F177" i="1"/>
  <c r="F181" i="1"/>
  <c r="H177" i="1"/>
  <c r="F178" i="1"/>
  <c r="H183" i="1"/>
  <c r="H181" i="1"/>
  <c r="F183" i="1"/>
  <c r="H173" i="1"/>
  <c r="F170" i="1"/>
  <c r="F182" i="1"/>
  <c r="F180" i="1"/>
  <c r="F172" i="1"/>
  <c r="H182" i="1"/>
  <c r="F184" i="1"/>
  <c r="H172" i="1"/>
  <c r="H170" i="1"/>
  <c r="H176" i="1"/>
  <c r="F185" i="1"/>
  <c r="H184" i="1"/>
  <c r="F175" i="1"/>
  <c r="F176" i="1"/>
  <c r="F186" i="1"/>
  <c r="F169" i="1"/>
  <c r="F187" i="1"/>
  <c r="H174" i="1"/>
  <c r="F174" i="1"/>
  <c r="H186" i="1"/>
  <c r="F171" i="1"/>
  <c r="H179" i="1"/>
  <c r="H187" i="1"/>
  <c r="H185" i="1"/>
  <c r="F179" i="1"/>
  <c r="H180" i="1"/>
  <c r="H165" i="1"/>
  <c r="F165" i="1"/>
  <c r="H166" i="1"/>
  <c r="F166" i="1"/>
  <c r="H164" i="1"/>
  <c r="F164" i="1"/>
  <c r="H168" i="1"/>
  <c r="F168" i="1"/>
  <c r="H167" i="1"/>
  <c r="F167" i="1"/>
  <c r="H163" i="1"/>
  <c r="F163" i="1"/>
  <c r="I168" i="1"/>
  <c r="I166" i="1"/>
  <c r="I163" i="1"/>
  <c r="I164" i="1"/>
  <c r="I165" i="1"/>
  <c r="I167" i="1"/>
  <c r="E201" i="1" l="1"/>
  <c r="E202" i="1" s="1"/>
</calcChain>
</file>

<file path=xl/sharedStrings.xml><?xml version="1.0" encoding="utf-8"?>
<sst xmlns="http://schemas.openxmlformats.org/spreadsheetml/2006/main" count="667" uniqueCount="274">
  <si>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</si>
  <si>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</si>
  <si>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</si>
  <si>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</si>
  <si>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</si>
  <si>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</si>
  <si>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</si>
  <si>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</si>
  <si>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</si>
  <si>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</si>
  <si>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</si>
  <si>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</si>
  <si>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</si>
  <si>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</si>
  <si>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</si>
  <si>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</si>
  <si>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</si>
  <si>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</si>
  <si>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</si>
  <si>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</si>
  <si>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</si>
  <si>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</si>
  <si>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</si>
  <si>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</si>
  <si>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</si>
  <si>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</si>
  <si>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</si>
  <si>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</si>
  <si>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</si>
  <si>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</si>
  <si>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</si>
  <si>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</si>
  <si>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</si>
  <si>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</si>
  <si>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</si>
  <si>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</si>
  <si>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</si>
  <si>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</si>
  <si>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</si>
  <si>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</si>
  <si>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</si>
  <si>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</si>
  <si>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</si>
  <si>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</si>
  <si>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</si>
  <si>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</si>
  <si>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</si>
  <si>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</si>
  <si>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</si>
  <si>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</si>
  <si>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</si>
  <si>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</si>
  <si>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</si>
  <si>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</si>
  <si>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</si>
  <si>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</si>
  <si>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</si>
  <si>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</si>
  <si>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</si>
  <si>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</si>
  <si>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</si>
  <si>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</si>
  <si>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</si>
  <si>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</si>
  <si>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</si>
  <si>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</si>
  <si>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</si>
  <si>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</si>
  <si>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</si>
  <si>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</si>
  <si>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</si>
  <si>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</si>
  <si>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</si>
  <si>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</si>
  <si>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</si>
  <si>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</si>
  <si>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</si>
  <si>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</si>
  <si>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</si>
  <si>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</si>
  <si>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</si>
  <si>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</si>
  <si>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</si>
  <si>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</si>
  <si>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</si>
  <si>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</si>
  <si>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</si>
  <si>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</si>
  <si>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</si>
  <si>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</si>
  <si>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</si>
  <si>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</si>
  <si>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</si>
  <si>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</si>
  <si>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</si>
  <si>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</si>
  <si>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</si>
  <si>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</si>
  <si>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</si>
  <si>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</si>
  <si>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</si>
  <si>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</si>
  <si>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</si>
  <si>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</si>
  <si>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</si>
  <si>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</si>
  <si>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</si>
  <si>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</si>
  <si>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</si>
  <si>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</si>
  <si>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</si>
  <si>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</si>
  <si>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</si>
  <si>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</si>
  <si>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</si>
  <si>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</si>
  <si>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</si>
  <si>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</si>
  <si>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</si>
  <si>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</si>
  <si>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</si>
  <si>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</si>
  <si>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</si>
  <si>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</si>
  <si>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</si>
  <si>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</si>
  <si>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</si>
  <si>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</si>
  <si>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</si>
  <si>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</si>
  <si>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</si>
  <si>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</si>
  <si>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</si>
  <si>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</si>
  <si>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</si>
  <si>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</si>
  <si>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</si>
  <si>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</si>
  <si>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</si>
  <si>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</si>
  <si>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</si>
  <si>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</si>
  <si>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</si>
  <si>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</si>
  <si>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</si>
  <si>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</si>
  <si>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</si>
  <si>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</si>
  <si>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</si>
  <si>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</si>
  <si>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</si>
  <si>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</si>
  <si>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</si>
  <si>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</si>
  <si>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</si>
  <si>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</si>
  <si>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</si>
  <si>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</si>
  <si>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</si>
  <si>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</si>
  <si>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</si>
  <si>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</si>
  <si>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</si>
  <si>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</si>
  <si>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</si>
  <si>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</si>
  <si>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</si>
  <si>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</si>
  <si>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</si>
  <si>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</si>
  <si>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</si>
  <si>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</si>
  <si>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</si>
  <si>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</si>
  <si>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</si>
  <si>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Техническое обслуживание охранной сигнализации.</t>
  </si>
  <si>
    <t>ежемесячно</t>
  </si>
  <si>
    <t>площадь дома</t>
  </si>
  <si>
    <t>Отчет об исполнении договора управления многоквартирного дома 
пер. Археолога Михаила Герасимова, 4</t>
  </si>
  <si>
    <t>Отчет об исполнении договора управления многоквартирного дома 
пер. Археолога Михаила Герасимова, 4 в части текущего ремонта</t>
  </si>
  <si>
    <t xml:space="preserve">  -  техническое обслуживание охранной сигнализации</t>
  </si>
  <si>
    <t>разово</t>
  </si>
  <si>
    <t>Работы по обеспечению пожарной безопасности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</si>
  <si>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</si>
  <si>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</si>
  <si>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</si>
  <si>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</si>
  <si>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</si>
  <si>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</si>
  <si>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</si>
  <si>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Механизированная уборка и вывоз снега с придомовой территории.</t>
  </si>
  <si>
    <t xml:space="preserve">лифты </t>
  </si>
  <si>
    <t>в содержании</t>
  </si>
  <si>
    <t xml:space="preserve">  -  механизированная уборка и вывоз снега с придомовой территории</t>
  </si>
  <si>
    <t>Перерасход (+) или экономия 
(-) средств в 2022 году (руб.)</t>
  </si>
  <si>
    <t>Начислено за  текущий ремонт в 2023 году (руб.):</t>
  </si>
  <si>
    <t>Итого выполнено работ в 2023 года (руб.):</t>
  </si>
  <si>
    <t>Перерасход (+) или экономия 
(-) средств по состоянию на 31 декабря 2023 года (руб.):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</si>
  <si>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</si>
  <si>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АВР 1/23 от 18.01.2023</t>
  </si>
  <si>
    <t>Приобретение и замена светильников в подъезде (2 шт.).</t>
  </si>
  <si>
    <t>АВР 2/23 от 03.02.2023, Решение</t>
  </si>
  <si>
    <t>Организация и проведение Масленицы.</t>
  </si>
  <si>
    <t>АВР 3/23 от 27.02.2023, счет №730 от 21.02.2023</t>
  </si>
  <si>
    <t>Замена контактора и кнопочного модуля "открывания дверей" в лифте 400 кг (2 подъезд).</t>
  </si>
  <si>
    <t>АВР 4/23 от 21.03.2023, счет №168 от 02.03.2023</t>
  </si>
  <si>
    <t>Замена светильников (над подъездом №2).</t>
  </si>
  <si>
    <t>АВР 5/23 от 28.03.2023</t>
  </si>
  <si>
    <t>Дополнительная уборка мест общего пользования.</t>
  </si>
  <si>
    <t>АВР 6/23 от 28.03.2023</t>
  </si>
  <si>
    <t>Техническое обслуживание системы видеонаблюдения.</t>
  </si>
  <si>
    <t>Приобретение и замена светильников (2 подъезд, возле кв. 228).</t>
  </si>
  <si>
    <t>АВР 7/23 от 19.04.2023</t>
  </si>
  <si>
    <t>Приобретение шланга для полива газона (50м.).</t>
  </si>
  <si>
    <t>Приобретение кабеля (витая пара) камеры видеонаблюдения для замены в шахте лифта (п.2).</t>
  </si>
  <si>
    <t>АВР 8/23 от 26.05.2023, счет №4 от 25.04.2023</t>
  </si>
  <si>
    <t>Благоустройство придомовой территории (завоз песка).</t>
  </si>
  <si>
    <t>АВР 9/23 от 26.05.2023</t>
  </si>
  <si>
    <t>Благоустройство придомовой территории (разметка парковочных мест).</t>
  </si>
  <si>
    <t>АВР 10/23 от 26.05.2023, счет №2233 от 19.05.2023</t>
  </si>
  <si>
    <t>Замена светильника в подъезде ( п.2, 5 этаж).</t>
  </si>
  <si>
    <t>АВР 12/23 от 19.06.2023</t>
  </si>
  <si>
    <t>Сварочные работы на системе ГВС в подвале подъезда №2.</t>
  </si>
  <si>
    <t>АВР 13/23 от 19.06.2023</t>
  </si>
  <si>
    <t>АВР 11/23 от 31.05.2023, счет №40 от 28.05.2023</t>
  </si>
  <si>
    <t>АВР 14/23 от 05.07.2023</t>
  </si>
  <si>
    <t>АВР 15/23 от 05.07.2023, счет №137 от 29.05.2023</t>
  </si>
  <si>
    <t>Замена светильников (над подъездом №2 лестница).</t>
  </si>
  <si>
    <t>АВР 16/23 от 05.07.2023</t>
  </si>
  <si>
    <t>Приобретение и замена светильников в коридоре и на лестнице (1 подъезд, 3 этаж, 2 шт.).</t>
  </si>
  <si>
    <t>АВР 17/23 от 20.07.2023, Решение</t>
  </si>
  <si>
    <t>Сварочные работы на системе ГВС (кв. №317).</t>
  </si>
  <si>
    <t>АВР 18/23 от 25.08.2023</t>
  </si>
  <si>
    <t>Приобретение и замена почтовых ящиков.</t>
  </si>
  <si>
    <t>Сварочные работы на системе отопления (кв. №330).</t>
  </si>
  <si>
    <t>АВР 19/23 от 05.10.2023</t>
  </si>
  <si>
    <t>Приобретение сосны ствольной "Альпийская" 3 метра.</t>
  </si>
  <si>
    <t>Сварочные работы на системе отопления (кв. №395).</t>
  </si>
  <si>
    <t>АВР 20/23 от 25.10.2023, Решение</t>
  </si>
  <si>
    <t>Сварочные работы на системе отопления (кв. №377).</t>
  </si>
  <si>
    <t>АВР 21/23 от 31.10.2023, Решение</t>
  </si>
  <si>
    <t>Замене компенсаторов на стояке отопления (кв. 377, 3 шт.).</t>
  </si>
  <si>
    <t>АВР 22/23 от 31.10.2023, Решение</t>
  </si>
  <si>
    <t>Замена светильника в коридоре (возле кв.360)</t>
  </si>
  <si>
    <t>АВР 23/23 от 08.11.2023, Решение</t>
  </si>
  <si>
    <t>АВР 24/23 от 14.11.2023, Решение, Счет №40450 от 19.09.2023</t>
  </si>
  <si>
    <t>Доставка почтовых ящиков.</t>
  </si>
  <si>
    <t>АВР 25/23 от 14.10.2023, Решение</t>
  </si>
  <si>
    <t>Приобретение дверных ручек (10 шт.) и врезных защелок (4 шт.).</t>
  </si>
  <si>
    <t>Сварочные работы на системе отопления (кв. 415).</t>
  </si>
  <si>
    <t>АВР 27/23 от 28.11.2023, Решение</t>
  </si>
  <si>
    <t>Замена светильников на лестнице и тамбурах.</t>
  </si>
  <si>
    <t>АВР 26/23 от 23.11.2023, Решение</t>
  </si>
  <si>
    <t>Приобретение торцевого уплотнения на насос системы ХВС.</t>
  </si>
  <si>
    <t>АВР 28/23 от 05.12.2023, Решение, счет №18194 от 05.12.2023</t>
  </si>
  <si>
    <t>АВР 29/23 от 08.12.2023, Решение, счет №219 от 10.11.2023</t>
  </si>
  <si>
    <t>Проведение новогоднего праздника.</t>
  </si>
  <si>
    <t>АВР 30/23 от 08.12.2023, Решение</t>
  </si>
  <si>
    <t>АВР 31/23 от 11.12.2023</t>
  </si>
  <si>
    <t>Замена компенсатора на стояке отопления (кв.372).</t>
  </si>
  <si>
    <t>АВР 33/23 от 14.12.2023</t>
  </si>
  <si>
    <t>АВР 34/23 от 14.12.2023</t>
  </si>
  <si>
    <t>АВР 35/23 от 27.12.2023, Решение, счет №3949 от 04.12.2023</t>
  </si>
  <si>
    <t>АВР 32/23 от 11.12.23, Решение, с 6.04.2023, расторгли с 01.01.2024</t>
  </si>
  <si>
    <t xml:space="preserve">  -  установка ручек и замков на двери в местах общего пользования (15 шт.)</t>
  </si>
  <si>
    <t xml:space="preserve">  -  установка доводчиков (10 шт.)</t>
  </si>
  <si>
    <t xml:space="preserve">  -  покраска входных групп (1 и 2 подъезды)</t>
  </si>
  <si>
    <t xml:space="preserve">  -  покраска ограждения на кровле</t>
  </si>
  <si>
    <t xml:space="preserve">  -  ремонт и покраска двери в лифт (1 подъезд)</t>
  </si>
  <si>
    <t xml:space="preserve">  -  ремонт подъездов </t>
  </si>
  <si>
    <t xml:space="preserve">  -  гидроизоляция балконов на 2 этаже (1 и 2 подъезды)</t>
  </si>
  <si>
    <t>Благоустройство придомовой территории (приобретение рассады).</t>
  </si>
  <si>
    <t>Приобретение и замена манометров в ИТП (3 шт.).</t>
  </si>
  <si>
    <t>Замена компенсатора на стояке отопления (2 шт., кв.273).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</si>
</sst>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52">
    <xf numFmtId="0" fontId="0" fillId="0" borderId="0"/>
    <xf numFmtId="0" fontId="42" fillId="0" borderId="0"/>
    <xf numFmtId="0" fontId="41" fillId="0" borderId="0"/>
    <xf numFmtId="0" fontId="54" fillId="0" borderId="0"/>
    <xf numFmtId="0" fontId="40" fillId="0" borderId="0"/>
    <xf numFmtId="0" fontId="39" fillId="0" borderId="0"/>
    <xf numFmtId="0" fontId="54" fillId="0" borderId="0"/>
    <xf numFmtId="0" fontId="54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53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 wrapText="1"/>
    </xf>
    <xf numFmtId="14" fontId="43" fillId="0" borderId="0" xfId="0" applyNumberFormat="1" applyFont="1"/>
    <xf numFmtId="0" fontId="44" fillId="2" borderId="0" xfId="0" applyFont="1" applyFill="1" applyAlignment="1">
      <alignment horizontal="right" wrapText="1" indent="1"/>
    </xf>
    <xf numFmtId="0" fontId="45" fillId="3" borderId="1" xfId="0" applyFont="1" applyFill="1" applyBorder="1" applyAlignment="1">
      <alignment horizontal="center" vertical="center" wrapText="1"/>
    </xf>
    <xf numFmtId="4" fontId="45" fillId="3" borderId="1" xfId="1" applyNumberFormat="1" applyFont="1" applyFill="1" applyBorder="1" applyAlignment="1">
      <alignment horizontal="center" vertical="center" wrapText="1"/>
    </xf>
    <xf numFmtId="0" fontId="46" fillId="0" borderId="0" xfId="0" applyFont="1"/>
    <xf numFmtId="0" fontId="46" fillId="0" borderId="1" xfId="0" applyFont="1" applyBorder="1" applyAlignment="1">
      <alignment horizontal="center"/>
    </xf>
    <xf numFmtId="4" fontId="45" fillId="2" borderId="1" xfId="1" applyNumberFormat="1" applyFont="1" applyFill="1" applyBorder="1" applyAlignment="1">
      <alignment horizontal="center" wrapText="1"/>
    </xf>
    <xf numFmtId="0" fontId="46" fillId="0" borderId="1" xfId="0" applyFont="1" applyBorder="1" applyAlignment="1">
      <alignment vertical="center" wrapText="1"/>
    </xf>
    <xf numFmtId="0" fontId="48" fillId="0" borderId="0" xfId="0" applyFont="1"/>
    <xf numFmtId="0" fontId="49" fillId="0" borderId="0" xfId="0" applyFont="1"/>
    <xf numFmtId="0" fontId="47" fillId="0" borderId="1" xfId="1" applyFont="1" applyBorder="1" applyAlignment="1">
      <alignment vertical="center"/>
    </xf>
    <xf numFmtId="0" fontId="45" fillId="2" borderId="1" xfId="1" applyNumberFormat="1" applyFont="1" applyFill="1" applyBorder="1" applyAlignment="1">
      <alignment horizontal="center" wrapText="1"/>
    </xf>
    <xf numFmtId="0" fontId="50" fillId="0" borderId="0" xfId="0" applyFont="1"/>
    <xf numFmtId="4" fontId="43" fillId="0" borderId="0" xfId="0" applyNumberFormat="1" applyFont="1"/>
    <xf numFmtId="4" fontId="45" fillId="2" borderId="1" xfId="0" applyNumberFormat="1" applyFont="1" applyFill="1" applyBorder="1" applyAlignment="1" applyProtection="1">
      <alignment horizontal="center" wrapText="1"/>
    </xf>
    <xf numFmtId="4" fontId="45" fillId="2" borderId="1" xfId="1" applyNumberFormat="1" applyFont="1" applyFill="1" applyBorder="1" applyAlignment="1">
      <alignment horizontal="center" vertical="center"/>
    </xf>
    <xf numFmtId="4" fontId="45" fillId="3" borderId="1" xfId="1" applyNumberFormat="1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wrapText="1"/>
    </xf>
    <xf numFmtId="0" fontId="43" fillId="0" borderId="0" xfId="0" applyFont="1" applyAlignment="1">
      <alignment vertical="center"/>
    </xf>
    <xf numFmtId="0" fontId="52" fillId="0" borderId="0" xfId="0" applyFont="1" applyAlignment="1">
      <alignment wrapText="1"/>
    </xf>
    <xf numFmtId="4" fontId="45" fillId="3" borderId="1" xfId="1" applyNumberFormat="1" applyFont="1" applyFill="1" applyBorder="1" applyAlignment="1">
      <alignment horizontal="center" vertical="center" wrapText="1"/>
    </xf>
    <xf numFmtId="4" fontId="45" fillId="3" borderId="1" xfId="1" applyNumberFormat="1" applyFont="1" applyFill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left" wrapText="1"/>
    </xf>
    <xf numFmtId="4" fontId="43" fillId="0" borderId="0" xfId="0" applyNumberFormat="1" applyFont="1" applyAlignment="1">
      <alignment vertical="center"/>
    </xf>
    <xf numFmtId="4" fontId="51" fillId="0" borderId="0" xfId="0" applyNumberFormat="1" applyFont="1" applyBorder="1" applyAlignment="1">
      <alignment vertical="center" wrapText="1"/>
    </xf>
    <xf numFmtId="4" fontId="45" fillId="3" borderId="1" xfId="1" applyNumberFormat="1" applyFont="1" applyFill="1" applyBorder="1" applyAlignment="1">
      <alignment horizontal="center" vertical="center" wrapText="1"/>
    </xf>
    <xf numFmtId="0" fontId="41" fillId="0" borderId="0" xfId="2" applyFill="1" applyBorder="1" applyAlignment="1"/>
    <xf numFmtId="0" fontId="0" fillId="0" borderId="0" xfId="0" applyBorder="1"/>
    <xf numFmtId="0" fontId="53" fillId="0" borderId="0" xfId="2" applyFont="1" applyFill="1" applyBorder="1" applyAlignment="1"/>
    <xf numFmtId="4" fontId="53" fillId="0" borderId="0" xfId="2" applyNumberFormat="1" applyFont="1" applyBorder="1" applyAlignment="1">
      <alignment horizontal="center"/>
    </xf>
    <xf numFmtId="0" fontId="45" fillId="3" borderId="0" xfId="0" applyFont="1" applyFill="1" applyBorder="1" applyAlignment="1">
      <alignment vertical="center" wrapText="1"/>
    </xf>
    <xf numFmtId="0" fontId="56" fillId="3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55" fillId="3" borderId="0" xfId="0" applyFont="1" applyFill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/>
    </xf>
    <xf numFmtId="4" fontId="5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45" fillId="3" borderId="1" xfId="1" applyNumberFormat="1" applyFont="1" applyFill="1" applyBorder="1" applyAlignment="1">
      <alignment horizontal="center" vertical="center" wrapText="1"/>
    </xf>
    <xf numFmtId="4" fontId="40" fillId="0" borderId="0" xfId="4" applyNumberFormat="1" applyFill="1" applyBorder="1" applyAlignment="1"/>
    <xf numFmtId="0" fontId="53" fillId="0" borderId="0" xfId="4" applyFont="1" applyFill="1" applyBorder="1" applyAlignment="1"/>
    <xf numFmtId="0" fontId="40" fillId="0" borderId="0" xfId="4" applyFill="1" applyBorder="1" applyAlignment="1"/>
    <xf numFmtId="4" fontId="53" fillId="0" borderId="0" xfId="4" applyNumberFormat="1" applyFont="1" applyFill="1" applyBorder="1" applyAlignment="1"/>
    <xf numFmtId="0" fontId="50" fillId="0" borderId="0" xfId="0" applyFont="1" applyAlignment="1">
      <alignment horizontal="left" vertical="center" textRotation="90"/>
    </xf>
    <xf numFmtId="0" fontId="57" fillId="0" borderId="0" xfId="0" applyFont="1" applyFill="1" applyBorder="1" applyAlignment="1">
      <alignment horizontal="left" vertical="center"/>
    </xf>
    <xf numFmtId="4" fontId="51" fillId="0" borderId="0" xfId="0" applyNumberFormat="1" applyFont="1"/>
    <xf numFmtId="0" fontId="51" fillId="0" borderId="0" xfId="0" applyFont="1"/>
    <xf numFmtId="4" fontId="51" fillId="0" borderId="0" xfId="0" applyNumberFormat="1" applyFont="1" applyFill="1"/>
    <xf numFmtId="0" fontId="43" fillId="0" borderId="0" xfId="0" applyFont="1" applyFill="1"/>
    <xf numFmtId="0" fontId="49" fillId="0" borderId="0" xfId="0" applyFont="1" applyFill="1" applyBorder="1" applyAlignment="1">
      <alignment horizontal="left"/>
    </xf>
    <xf numFmtId="0" fontId="51" fillId="0" borderId="0" xfId="0" applyFont="1" applyFill="1"/>
    <xf numFmtId="4" fontId="59" fillId="0" borderId="0" xfId="0" applyNumberFormat="1" applyFont="1"/>
    <xf numFmtId="0" fontId="59" fillId="0" borderId="0" xfId="0" applyFont="1"/>
    <xf numFmtId="0" fontId="48" fillId="0" borderId="0" xfId="0" applyFont="1" applyBorder="1"/>
    <xf numFmtId="0" fontId="43" fillId="0" borderId="0" xfId="0" applyFont="1" applyBorder="1"/>
    <xf numFmtId="0" fontId="4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45" fillId="0" borderId="0" xfId="0" applyFont="1" applyBorder="1" applyAlignment="1" applyProtection="1">
      <alignment wrapText="1"/>
      <protection locked="0"/>
    </xf>
    <xf numFmtId="0" fontId="46" fillId="0" borderId="0" xfId="0" applyFont="1" applyBorder="1" applyProtection="1">
      <protection locked="0"/>
    </xf>
    <xf numFmtId="0" fontId="43" fillId="0" borderId="0" xfId="0" applyFont="1" applyBorder="1" applyProtection="1">
      <protection locked="0"/>
    </xf>
    <xf numFmtId="0" fontId="45" fillId="0" borderId="0" xfId="1" applyFont="1" applyBorder="1" applyAlignment="1" applyProtection="1">
      <alignment wrapText="1"/>
      <protection locked="0"/>
    </xf>
    <xf numFmtId="0" fontId="46" fillId="0" borderId="0" xfId="0" applyFont="1" applyBorder="1" applyAlignment="1" applyProtection="1">
      <alignment vertical="center" wrapText="1"/>
      <protection locked="0"/>
    </xf>
    <xf numFmtId="0" fontId="47" fillId="0" borderId="0" xfId="1" applyFont="1" applyBorder="1" applyAlignment="1" applyProtection="1">
      <alignment vertical="center"/>
      <protection locked="0"/>
    </xf>
    <xf numFmtId="0" fontId="45" fillId="0" borderId="0" xfId="1" applyFont="1" applyBorder="1" applyAlignment="1" applyProtection="1">
      <alignment vertical="center" wrapText="1"/>
      <protection locked="0"/>
    </xf>
    <xf numFmtId="0" fontId="45" fillId="0" borderId="0" xfId="1" applyFont="1" applyBorder="1" applyAlignment="1" applyProtection="1">
      <alignment horizontal="center" vertical="center" wrapText="1"/>
      <protection locked="0"/>
    </xf>
    <xf numFmtId="0" fontId="4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48" fillId="0" borderId="0" xfId="0" applyFont="1" applyBorder="1" applyProtection="1"/>
    <xf numFmtId="0" fontId="4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49" fillId="0" borderId="0" xfId="0" applyFont="1" applyBorder="1" applyProtection="1"/>
    <xf numFmtId="0" fontId="45" fillId="0" borderId="0" xfId="1" applyFont="1" applyBorder="1" applyAlignment="1" applyProtection="1">
      <alignment wrapText="1"/>
    </xf>
    <xf numFmtId="0" fontId="46" fillId="0" borderId="0" xfId="0" applyFont="1" applyBorder="1" applyAlignment="1" applyProtection="1">
      <alignment horizontal="center" vertical="center" wrapText="1"/>
    </xf>
    <xf numFmtId="0" fontId="47" fillId="0" borderId="0" xfId="1" applyFont="1" applyBorder="1" applyAlignment="1" applyProtection="1">
      <alignment vertical="center"/>
    </xf>
    <xf numFmtId="0" fontId="45" fillId="0" borderId="0" xfId="1" applyFont="1" applyBorder="1" applyAlignment="1" applyProtection="1">
      <alignment vertical="center" wrapText="1"/>
    </xf>
    <xf numFmtId="4" fontId="45" fillId="4" borderId="0" xfId="0" applyNumberFormat="1" applyFont="1" applyFill="1" applyBorder="1" applyAlignment="1" applyProtection="1">
      <alignment horizontal="center" wrapText="1"/>
    </xf>
    <xf numFmtId="0" fontId="46" fillId="0" borderId="0" xfId="0" applyFont="1" applyBorder="1" applyProtection="1"/>
    <xf numFmtId="0" fontId="58" fillId="0" borderId="0" xfId="0" applyFont="1" applyBorder="1" applyProtection="1"/>
    <xf numFmtId="4" fontId="45" fillId="4" borderId="0" xfId="1" applyNumberFormat="1" applyFont="1" applyFill="1" applyBorder="1" applyAlignment="1" applyProtection="1">
      <alignment horizontal="center" wrapText="1"/>
    </xf>
    <xf numFmtId="4" fontId="45" fillId="5" borderId="0" xfId="0" applyNumberFormat="1" applyFont="1" applyFill="1" applyBorder="1" applyAlignment="1" applyProtection="1">
      <alignment horizontal="center" wrapText="1"/>
      <protection locked="0"/>
    </xf>
    <xf numFmtId="0" fontId="46" fillId="5" borderId="0" xfId="0" applyFont="1" applyFill="1" applyBorder="1" applyAlignment="1" applyProtection="1">
      <alignment horizontal="center"/>
      <protection locked="0"/>
    </xf>
    <xf numFmtId="2" fontId="46" fillId="5" borderId="0" xfId="0" applyNumberFormat="1" applyFont="1" applyFill="1" applyBorder="1" applyAlignment="1" applyProtection="1">
      <alignment horizontal="center"/>
      <protection locked="0"/>
    </xf>
    <xf numFmtId="4" fontId="45" fillId="5" borderId="0" xfId="1" applyNumberFormat="1" applyFont="1" applyFill="1" applyBorder="1" applyAlignment="1" applyProtection="1">
      <alignment horizontal="center" wrapText="1"/>
      <protection locked="0"/>
    </xf>
    <xf numFmtId="0" fontId="45" fillId="5" borderId="0" xfId="1" applyFont="1" applyFill="1" applyBorder="1" applyAlignment="1" applyProtection="1">
      <alignment horizontal="center" wrapText="1"/>
      <protection locked="0"/>
    </xf>
    <xf numFmtId="2" fontId="45" fillId="5" borderId="0" xfId="1" applyNumberFormat="1" applyFont="1" applyFill="1" applyBorder="1" applyAlignment="1" applyProtection="1">
      <alignment horizontal="center" wrapText="1"/>
      <protection locked="0"/>
    </xf>
    <xf numFmtId="0" fontId="47" fillId="0" borderId="0" xfId="1" applyFont="1" applyBorder="1" applyAlignment="1" applyProtection="1">
      <alignment horizontal="center" vertical="center" wrapText="1"/>
      <protection locked="0"/>
    </xf>
    <xf numFmtId="4" fontId="45" fillId="5" borderId="0" xfId="1" applyNumberFormat="1" applyFont="1" applyFill="1" applyBorder="1" applyAlignment="1" applyProtection="1">
      <alignment horizontal="center" vertical="center"/>
      <protection locked="0"/>
    </xf>
    <xf numFmtId="4" fontId="4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horizontal="center" vertical="center" wrapText="1"/>
    </xf>
    <xf numFmtId="4" fontId="45" fillId="4" borderId="0" xfId="1" applyNumberFormat="1" applyFont="1" applyFill="1" applyBorder="1" applyAlignment="1" applyProtection="1">
      <alignment horizontal="center" vertical="center" wrapText="1"/>
    </xf>
    <xf numFmtId="0" fontId="47" fillId="0" borderId="0" xfId="1" applyFont="1" applyBorder="1" applyAlignment="1" applyProtection="1">
      <alignment horizontal="center" vertical="center" wrapText="1"/>
    </xf>
    <xf numFmtId="4" fontId="47" fillId="5" borderId="0" xfId="1" applyNumberFormat="1" applyFont="1" applyFill="1" applyBorder="1" applyAlignment="1" applyProtection="1">
      <alignment horizontal="center" vertical="center"/>
      <protection locked="0"/>
    </xf>
    <xf numFmtId="0" fontId="47" fillId="0" borderId="0" xfId="1" applyFont="1" applyBorder="1" applyAlignment="1" applyProtection="1">
      <alignment horizontal="center" vertical="center"/>
    </xf>
    <xf numFmtId="4" fontId="46" fillId="0" borderId="1" xfId="0" applyNumberFormat="1" applyFont="1" applyBorder="1" applyAlignment="1">
      <alignment horizontal="center"/>
    </xf>
    <xf numFmtId="4" fontId="45" fillId="5" borderId="0" xfId="1" applyNumberFormat="1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 wrapText="1"/>
    </xf>
    <xf numFmtId="0" fontId="43" fillId="5" borderId="0" xfId="0" applyFont="1" applyFill="1" applyAlignment="1">
      <alignment wrapText="1"/>
    </xf>
    <xf numFmtId="4" fontId="43" fillId="0" borderId="5" xfId="0" applyNumberFormat="1" applyFont="1" applyBorder="1" applyAlignment="1">
      <alignment horizontal="center" vertical="center" wrapText="1"/>
    </xf>
    <xf numFmtId="0" fontId="4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61" fillId="0" borderId="0" xfId="0" applyFont="1"/>
    <xf numFmtId="0" fontId="45" fillId="5" borderId="1" xfId="1" applyNumberFormat="1" applyFont="1" applyFill="1" applyBorder="1" applyAlignment="1" applyProtection="1">
      <alignment horizontal="center" wrapText="1"/>
      <protection locked="0"/>
    </xf>
    <xf numFmtId="4" fontId="45" fillId="5" borderId="1" xfId="1" applyNumberFormat="1" applyFont="1" applyFill="1" applyBorder="1" applyAlignment="1" applyProtection="1">
      <alignment horizontal="center" wrapText="1"/>
      <protection locked="0"/>
    </xf>
    <xf numFmtId="0" fontId="58" fillId="0" borderId="0" xfId="0" applyFont="1" applyBorder="1"/>
    <xf numFmtId="0" fontId="0" fillId="0" borderId="0" xfId="0" applyProtection="1">
      <protection locked="0"/>
    </xf>
    <xf numFmtId="0" fontId="43" fillId="0" borderId="0" xfId="0" applyFont="1" applyProtection="1">
      <protection locked="0"/>
    </xf>
    <xf numFmtId="0" fontId="50" fillId="0" borderId="0" xfId="0" applyFont="1" applyProtection="1">
      <protection locked="0"/>
    </xf>
    <xf numFmtId="0" fontId="46" fillId="0" borderId="0" xfId="0" applyFont="1" applyAlignment="1">
      <alignment wrapText="1"/>
    </xf>
    <xf numFmtId="0" fontId="46" fillId="0" borderId="0" xfId="0" applyFont="1" applyFill="1" applyBorder="1" applyAlignment="1">
      <alignment wrapText="1"/>
    </xf>
    <xf numFmtId="4" fontId="45" fillId="0" borderId="0" xfId="0" applyNumberFormat="1" applyFont="1"/>
    <xf numFmtId="0" fontId="62" fillId="2" borderId="0" xfId="0" applyFont="1" applyFill="1" applyAlignment="1">
      <alignment horizontal="right" wrapText="1" indent="1"/>
    </xf>
    <xf numFmtId="0" fontId="43" fillId="0" borderId="0" xfId="0" applyFont="1" applyAlignment="1" applyProtection="1">
      <alignment vertical="center"/>
      <protection locked="0"/>
    </xf>
    <xf numFmtId="14" fontId="43" fillId="0" borderId="0" xfId="0" applyNumberFormat="1" applyFont="1" applyProtection="1">
      <protection locked="0"/>
    </xf>
    <xf numFmtId="0" fontId="0" fillId="0" borderId="0" xfId="0" applyFont="1" applyFill="1"/>
    <xf numFmtId="4" fontId="0" fillId="0" borderId="0" xfId="0" applyNumberFormat="1" applyFill="1" applyBorder="1" applyAlignment="1"/>
    <xf numFmtId="4" fontId="45" fillId="0" borderId="0" xfId="0" applyNumberFormat="1" applyFont="1" applyBorder="1"/>
    <xf numFmtId="4" fontId="46" fillId="0" borderId="0" xfId="0" applyNumberFormat="1" applyFont="1" applyBorder="1"/>
    <xf numFmtId="0" fontId="53" fillId="0" borderId="0" xfId="11" applyFont="1" applyFill="1" applyBorder="1" applyAlignment="1"/>
    <xf numFmtId="0" fontId="0" fillId="0" borderId="0" xfId="0" applyFill="1" applyBorder="1" applyAlignment="1">
      <alignment horizontal="center"/>
    </xf>
    <xf numFmtId="0" fontId="53" fillId="0" borderId="6" xfId="13" applyFont="1" applyFill="1" applyBorder="1" applyAlignment="1"/>
    <xf numFmtId="4" fontId="38" fillId="0" borderId="0" xfId="8" applyNumberFormat="1" applyFill="1" applyBorder="1" applyAlignment="1"/>
    <xf numFmtId="0" fontId="0" fillId="0" borderId="0" xfId="0" applyFont="1" applyFill="1" applyBorder="1"/>
    <xf numFmtId="4" fontId="53" fillId="0" borderId="0" xfId="11" applyNumberFormat="1" applyFont="1" applyFill="1" applyBorder="1" applyAlignment="1"/>
    <xf numFmtId="49" fontId="46" fillId="0" borderId="0" xfId="0" applyNumberFormat="1" applyFont="1" applyBorder="1" applyAlignment="1"/>
    <xf numFmtId="4" fontId="46" fillId="0" borderId="0" xfId="0" applyNumberFormat="1" applyFont="1" applyFill="1" applyBorder="1"/>
    <xf numFmtId="49" fontId="46" fillId="0" borderId="0" xfId="0" applyNumberFormat="1" applyFont="1"/>
    <xf numFmtId="0" fontId="46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2" fontId="0" fillId="0" borderId="0" xfId="0" applyNumberFormat="1" applyFill="1" applyBorder="1"/>
    <xf numFmtId="4" fontId="0" fillId="0" borderId="0" xfId="0" applyNumberFormat="1" applyBorder="1" applyAlignment="1">
      <alignment horizontal="center"/>
    </xf>
    <xf numFmtId="0" fontId="0" fillId="0" borderId="0" xfId="0" applyFill="1"/>
    <xf numFmtId="0" fontId="30" fillId="0" borderId="0" xfId="26" applyFont="1" applyFill="1" applyBorder="1" applyAlignment="1">
      <alignment horizontal="center" vertical="center"/>
    </xf>
    <xf numFmtId="0" fontId="0" fillId="0" borderId="0" xfId="0" applyFill="1" applyBorder="1" applyAlignment="1"/>
    <xf numFmtId="4" fontId="0" fillId="0" borderId="0" xfId="0" applyNumberFormat="1" applyFont="1" applyFill="1" applyBorder="1" applyAlignment="1"/>
    <xf numFmtId="0" fontId="0" fillId="0" borderId="0" xfId="0" applyFill="1" applyBorder="1" applyAlignment="1">
      <alignment horizontal="center" vertical="center"/>
    </xf>
    <xf numFmtId="0" fontId="46" fillId="0" borderId="0" xfId="0" applyFont="1" applyBorder="1" applyAlignment="1"/>
    <xf numFmtId="4" fontId="46" fillId="0" borderId="0" xfId="0" applyNumberFormat="1" applyFont="1" applyBorder="1" applyAlignment="1"/>
    <xf numFmtId="0" fontId="25" fillId="0" borderId="0" xfId="26" applyFont="1" applyFill="1" applyBorder="1" applyAlignment="1">
      <alignment horizontal="center" vertical="center"/>
    </xf>
    <xf numFmtId="0" fontId="24" fillId="0" borderId="0" xfId="8" applyFont="1" applyFill="1" applyBorder="1" applyAlignment="1">
      <alignment horizontal="center" vertical="center"/>
    </xf>
    <xf numFmtId="0" fontId="23" fillId="0" borderId="0" xfId="8" applyFont="1" applyFill="1" applyBorder="1" applyAlignment="1">
      <alignment horizontal="center" vertical="center"/>
    </xf>
    <xf numFmtId="0" fontId="22" fillId="0" borderId="0" xfId="8" applyFont="1" applyFill="1" applyBorder="1" applyAlignment="1">
      <alignment horizontal="center" vertical="center"/>
    </xf>
    <xf numFmtId="0" fontId="20" fillId="0" borderId="0" xfId="8" applyFont="1" applyFill="1" applyBorder="1" applyAlignment="1">
      <alignment horizontal="center" vertical="center"/>
    </xf>
    <xf numFmtId="0" fontId="17" fillId="0" borderId="0" xfId="2" applyFont="1" applyFill="1" applyBorder="1" applyAlignment="1"/>
    <xf numFmtId="0" fontId="17" fillId="0" borderId="0" xfId="8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/>
    </xf>
    <xf numFmtId="0" fontId="16" fillId="0" borderId="0" xfId="11" applyFont="1" applyFill="1" applyBorder="1" applyAlignment="1"/>
    <xf numFmtId="0" fontId="16" fillId="0" borderId="0" xfId="11" applyFont="1" applyFill="1" applyBorder="1" applyAlignment="1">
      <alignment horizontal="center"/>
    </xf>
    <xf numFmtId="0" fontId="16" fillId="0" borderId="0" xfId="38" applyFont="1" applyFill="1" applyBorder="1"/>
    <xf numFmtId="0" fontId="53" fillId="0" borderId="0" xfId="43" applyFont="1" applyFill="1" applyBorder="1" applyAlignment="1"/>
    <xf numFmtId="0" fontId="16" fillId="0" borderId="0" xfId="43" applyFont="1" applyFill="1" applyBorder="1" applyAlignment="1">
      <alignment horizontal="center"/>
    </xf>
    <xf numFmtId="4" fontId="16" fillId="0" borderId="0" xfId="43" applyNumberFormat="1" applyFill="1" applyBorder="1" applyAlignment="1"/>
    <xf numFmtId="0" fontId="18" fillId="0" borderId="0" xfId="8" applyFont="1" applyFill="1" applyBorder="1" applyAlignment="1">
      <alignment horizontal="center" vertical="center"/>
    </xf>
    <xf numFmtId="0" fontId="15" fillId="0" borderId="0" xfId="8" applyFont="1" applyFill="1" applyBorder="1"/>
    <xf numFmtId="0" fontId="14" fillId="0" borderId="0" xfId="20" applyFont="1" applyFill="1" applyBorder="1" applyAlignment="1">
      <alignment horizontal="center"/>
    </xf>
    <xf numFmtId="4" fontId="53" fillId="0" borderId="0" xfId="20" applyNumberFormat="1" applyFont="1" applyFill="1" applyBorder="1" applyAlignment="1"/>
    <xf numFmtId="0" fontId="12" fillId="0" borderId="0" xfId="17" applyFont="1" applyFill="1" applyBorder="1" applyAlignment="1"/>
    <xf numFmtId="0" fontId="13" fillId="0" borderId="0" xfId="42" applyFont="1" applyFill="1" applyBorder="1" applyAlignment="1">
      <alignment horizontal="center"/>
    </xf>
    <xf numFmtId="0" fontId="11" fillId="0" borderId="0" xfId="2" applyFont="1" applyFill="1" applyBorder="1" applyAlignment="1"/>
    <xf numFmtId="0" fontId="9" fillId="0" borderId="0" xfId="2" applyFont="1" applyFill="1" applyBorder="1" applyAlignment="1"/>
    <xf numFmtId="0" fontId="10" fillId="0" borderId="0" xfId="107" applyFont="1" applyFill="1" applyBorder="1" applyAlignment="1">
      <alignment wrapText="1"/>
    </xf>
    <xf numFmtId="0" fontId="10" fillId="0" borderId="0" xfId="107" applyFont="1" applyFill="1" applyBorder="1" applyAlignment="1">
      <alignment horizontal="center"/>
    </xf>
    <xf numFmtId="4" fontId="10" fillId="0" borderId="0" xfId="107" applyNumberFormat="1" applyFill="1" applyBorder="1" applyAlignment="1"/>
    <xf numFmtId="0" fontId="7" fillId="0" borderId="0" xfId="2" applyFont="1" applyFill="1" applyBorder="1" applyAlignment="1"/>
    <xf numFmtId="0" fontId="7" fillId="0" borderId="0" xfId="107" applyFont="1" applyFill="1" applyBorder="1"/>
    <xf numFmtId="0" fontId="7" fillId="0" borderId="0" xfId="17" applyFont="1" applyFill="1" applyBorder="1" applyAlignment="1"/>
    <xf numFmtId="0" fontId="7" fillId="0" borderId="0" xfId="20" applyFont="1" applyFill="1" applyBorder="1" applyAlignment="1">
      <alignment horizontal="center"/>
    </xf>
    <xf numFmtId="0" fontId="6" fillId="0" borderId="0" xfId="17" applyFont="1" applyFill="1" applyBorder="1" applyAlignment="1"/>
    <xf numFmtId="0" fontId="8" fillId="0" borderId="0" xfId="20" applyFont="1" applyFill="1" applyBorder="1" applyAlignment="1">
      <alignment horizontal="center"/>
    </xf>
    <xf numFmtId="0" fontId="5" fillId="0" borderId="0" xfId="2" applyFont="1" applyFill="1" applyBorder="1" applyAlignment="1"/>
    <xf numFmtId="4" fontId="63" fillId="0" borderId="0" xfId="0" applyNumberFormat="1" applyFont="1" applyAlignment="1">
      <alignment horizontal="center"/>
    </xf>
    <xf numFmtId="4" fontId="55" fillId="3" borderId="0" xfId="1" applyNumberFormat="1" applyFont="1" applyFill="1" applyBorder="1" applyAlignment="1">
      <alignment horizontal="center" vertical="center" wrapText="1"/>
    </xf>
    <xf numFmtId="0" fontId="30" fillId="0" borderId="0" xfId="26" applyFill="1" applyBorder="1" applyAlignment="1">
      <alignment horizontal="center" vertical="center"/>
    </xf>
    <xf numFmtId="0" fontId="38" fillId="0" borderId="0" xfId="8" applyFill="1" applyBorder="1" applyAlignment="1">
      <alignment horizontal="center" vertical="center"/>
    </xf>
    <xf numFmtId="0" fontId="29" fillId="0" borderId="0" xfId="4" applyFont="1" applyFill="1" applyBorder="1" applyAlignment="1">
      <alignment horizontal="center" vertical="center"/>
    </xf>
    <xf numFmtId="0" fontId="36" fillId="0" borderId="0" xfId="4" applyFont="1" applyFill="1" applyBorder="1" applyAlignment="1">
      <alignment horizontal="center" vertical="center"/>
    </xf>
    <xf numFmtId="0" fontId="40" fillId="0" borderId="0" xfId="4" applyFill="1" applyBorder="1" applyAlignment="1">
      <alignment horizontal="center" vertical="center"/>
    </xf>
    <xf numFmtId="0" fontId="53" fillId="0" borderId="0" xfId="11" applyFont="1" applyFill="1" applyBorder="1" applyAlignment="1">
      <alignment horizontal="center" vertical="center"/>
    </xf>
    <xf numFmtId="0" fontId="16" fillId="0" borderId="0" xfId="43" applyFill="1" applyBorder="1" applyAlignment="1">
      <alignment horizontal="center" vertical="center"/>
    </xf>
    <xf numFmtId="0" fontId="35" fillId="0" borderId="0" xfId="8" applyFont="1" applyFill="1" applyBorder="1" applyAlignment="1">
      <alignment horizontal="center" vertical="center"/>
    </xf>
    <xf numFmtId="0" fontId="28" fillId="0" borderId="0" xfId="8" applyFont="1" applyFill="1" applyBorder="1" applyAlignment="1">
      <alignment horizontal="center" vertical="center"/>
    </xf>
    <xf numFmtId="0" fontId="34" fillId="0" borderId="0" xfId="20" applyFill="1" applyBorder="1" applyAlignment="1">
      <alignment horizontal="center" vertical="center"/>
    </xf>
    <xf numFmtId="0" fontId="26" fillId="0" borderId="0" xfId="42" applyFill="1" applyBorder="1" applyAlignment="1">
      <alignment horizontal="center" vertical="center"/>
    </xf>
    <xf numFmtId="0" fontId="10" fillId="0" borderId="0" xfId="107" applyFill="1" applyBorder="1" applyAlignment="1">
      <alignment horizontal="center" vertical="center"/>
    </xf>
    <xf numFmtId="0" fontId="33" fillId="0" borderId="0" xfId="8" applyFont="1" applyFill="1" applyBorder="1" applyAlignment="1">
      <alignment horizontal="center" vertical="center"/>
    </xf>
    <xf numFmtId="0" fontId="32" fillId="0" borderId="0" xfId="8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55" fillId="3" borderId="0" xfId="21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53" fillId="0" borderId="0" xfId="0" applyFont="1" applyFill="1" applyBorder="1" applyAlignment="1">
      <alignment horizontal="center" vertical="center" wrapText="1"/>
    </xf>
    <xf numFmtId="4" fontId="5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/>
    <xf numFmtId="0" fontId="8" fillId="0" borderId="0" xfId="17" applyFont="1" applyFill="1" applyBorder="1" applyAlignment="1"/>
    <xf numFmtId="4" fontId="0" fillId="0" borderId="0" xfId="0" applyNumberFormat="1" applyFill="1" applyBorder="1"/>
    <xf numFmtId="0" fontId="21" fillId="0" borderId="0" xfId="8" applyFont="1" applyFill="1" applyBorder="1" applyAlignment="1">
      <alignment horizontal="center" vertical="center"/>
    </xf>
    <xf numFmtId="0" fontId="38" fillId="0" borderId="0" xfId="8" applyFont="1" applyFill="1" applyBorder="1" applyAlignment="1">
      <alignment horizontal="center"/>
    </xf>
    <xf numFmtId="0" fontId="38" fillId="0" borderId="0" xfId="8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 applyBorder="1" applyAlignment="1"/>
    <xf numFmtId="4" fontId="0" fillId="0" borderId="0" xfId="0" applyNumberFormat="1" applyFont="1" applyFill="1" applyBorder="1" applyAlignment="1"/>
    <xf numFmtId="0" fontId="0" fillId="0" borderId="0" xfId="0" applyFill="1" applyBorder="1" applyAlignment="1">
      <alignment horizontal="center" vertical="center"/>
    </xf>
    <xf numFmtId="0" fontId="3" fillId="0" borderId="0" xfId="154" applyFill="1" applyBorder="1" applyAlignment="1">
      <alignment horizontal="center"/>
    </xf>
    <xf numFmtId="4" fontId="53" fillId="0" borderId="0" xfId="154" applyNumberFormat="1" applyFont="1" applyFill="1" applyBorder="1" applyAlignment="1"/>
    <xf numFmtId="0" fontId="3" fillId="0" borderId="0" xfId="138" applyFont="1" applyFill="1" applyBorder="1" applyAlignment="1"/>
    <xf numFmtId="0" fontId="3" fillId="0" borderId="0" xfId="154" applyFont="1" applyFill="1" applyBorder="1" applyAlignment="1">
      <alignment horizontal="center"/>
    </xf>
    <xf numFmtId="0" fontId="3" fillId="0" borderId="0" xfId="17" applyFont="1" applyFill="1" applyBorder="1" applyAlignment="1"/>
    <xf numFmtId="0" fontId="4" fillId="0" borderId="0" xfId="17" applyFont="1" applyFill="1" applyBorder="1" applyAlignment="1"/>
    <xf numFmtId="0" fontId="2" fillId="0" borderId="0" xfId="17" applyFont="1" applyFill="1" applyBorder="1" applyAlignment="1"/>
    <xf numFmtId="49" fontId="46" fillId="0" borderId="0" xfId="0" applyNumberFormat="1" applyFont="1" applyBorder="1" applyAlignment="1">
      <alignment horizontal="left" wrapText="1"/>
    </xf>
    <xf numFmtId="0" fontId="1" fillId="0" borderId="0" xfId="2" applyFont="1" applyFill="1" applyBorder="1" applyAlignment="1"/>
    <xf numFmtId="0" fontId="1" fillId="0" borderId="0" xfId="17" applyFont="1" applyFill="1" applyBorder="1" applyAlignment="1"/>
    <xf numFmtId="4" fontId="45" fillId="3" borderId="1" xfId="1" applyNumberFormat="1" applyFont="1" applyFill="1" applyBorder="1" applyAlignment="1">
      <alignment horizontal="center" vertical="center" wrapText="1"/>
    </xf>
    <xf numFmtId="0" fontId="50" fillId="0" borderId="0" xfId="0" applyFont="1" applyAlignment="1" applyProtection="1">
      <alignment horizontal="left" vertical="center" textRotation="90"/>
      <protection locked="0"/>
    </xf>
    <xf numFmtId="0" fontId="45" fillId="3" borderId="0" xfId="0" applyFont="1" applyFill="1" applyBorder="1" applyAlignment="1">
      <alignment horizontal="left" vertical="center" wrapText="1"/>
    </xf>
    <xf numFmtId="4" fontId="45" fillId="3" borderId="0" xfId="1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5" fillId="3" borderId="1" xfId="0" applyFont="1" applyFill="1" applyBorder="1" applyAlignment="1">
      <alignment horizontal="left" vertical="center" wrapText="1"/>
    </xf>
    <xf numFmtId="4" fontId="45" fillId="3" borderId="1" xfId="1" applyNumberFormat="1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left" wrapText="1"/>
    </xf>
    <xf numFmtId="0" fontId="49" fillId="0" borderId="0" xfId="0" applyFont="1" applyAlignment="1">
      <alignment horizontal="center" wrapText="1"/>
    </xf>
    <xf numFmtId="0" fontId="51" fillId="0" borderId="0" xfId="0" applyFont="1" applyBorder="1" applyAlignment="1">
      <alignment horizontal="left" wrapText="1"/>
    </xf>
    <xf numFmtId="0" fontId="45" fillId="3" borderId="1" xfId="0" applyFont="1" applyFill="1" applyBorder="1" applyAlignment="1">
      <alignment horizontal="center" vertical="center" wrapText="1"/>
    </xf>
    <xf numFmtId="0" fontId="50" fillId="0" borderId="0" xfId="0" applyFont="1" applyAlignment="1" applyProtection="1">
      <alignment horizontal="center" vertical="center" textRotation="90" wrapText="1"/>
      <protection locked="0"/>
    </xf>
    <xf numFmtId="0" fontId="45" fillId="0" borderId="1" xfId="1" applyFont="1" applyBorder="1" applyAlignment="1">
      <alignment horizontal="left" wrapText="1"/>
    </xf>
    <xf numFmtId="0" fontId="46" fillId="0" borderId="1" xfId="0" applyFont="1" applyBorder="1" applyAlignment="1">
      <alignment horizontal="center" vertical="center" wrapText="1"/>
    </xf>
    <xf numFmtId="4" fontId="47" fillId="0" borderId="1" xfId="1" applyNumberFormat="1" applyFont="1" applyBorder="1" applyAlignment="1">
      <alignment horizontal="center" vertical="center"/>
    </xf>
    <xf numFmtId="0" fontId="47" fillId="0" borderId="1" xfId="1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7" fillId="0" borderId="1" xfId="1" applyFont="1" applyBorder="1" applyAlignment="1">
      <alignment horizontal="left" vertical="center"/>
    </xf>
    <xf numFmtId="0" fontId="45" fillId="0" borderId="1" xfId="1" applyFont="1" applyBorder="1" applyAlignment="1">
      <alignment horizontal="left" vertical="center" wrapText="1"/>
    </xf>
    <xf numFmtId="0" fontId="45" fillId="0" borderId="2" xfId="1" applyFont="1" applyBorder="1" applyAlignment="1">
      <alignment horizontal="left" wrapText="1"/>
    </xf>
    <xf numFmtId="0" fontId="45" fillId="0" borderId="3" xfId="1" applyFont="1" applyBorder="1" applyAlignment="1">
      <alignment horizontal="left" wrapText="1"/>
    </xf>
    <xf numFmtId="0" fontId="45" fillId="0" borderId="4" xfId="1" applyFont="1" applyBorder="1" applyAlignment="1">
      <alignment horizontal="left" wrapText="1"/>
    </xf>
    <xf numFmtId="0" fontId="45" fillId="0" borderId="1" xfId="0" applyFont="1" applyBorder="1" applyAlignment="1">
      <alignment horizontal="left" wrapText="1"/>
    </xf>
    <xf numFmtId="0" fontId="45" fillId="0" borderId="2" xfId="0" applyFont="1" applyBorder="1" applyAlignment="1" applyProtection="1">
      <alignment horizontal="left" wrapText="1"/>
    </xf>
    <xf numFmtId="0" fontId="45" fillId="0" borderId="3" xfId="0" applyFont="1" applyBorder="1" applyAlignment="1" applyProtection="1">
      <alignment horizontal="left" wrapText="1"/>
    </xf>
    <xf numFmtId="0" fontId="45" fillId="0" borderId="4" xfId="0" applyFont="1" applyBorder="1" applyAlignment="1" applyProtection="1">
      <alignment horizontal="left" wrapText="1"/>
    </xf>
    <xf numFmtId="0" fontId="49" fillId="0" borderId="0" xfId="0" applyFont="1" applyAlignment="1" applyProtection="1">
      <alignment horizontal="center" wrapText="1"/>
      <protection locked="0"/>
    </xf>
    <xf numFmtId="0" fontId="50" fillId="0" borderId="0" xfId="0" applyFont="1" applyAlignment="1" applyProtection="1">
      <alignment horizontal="left" textRotation="90"/>
      <protection locked="0"/>
    </xf>
    <xf numFmtId="0" fontId="50" fillId="0" borderId="0" xfId="0" applyFont="1" applyAlignment="1" applyProtection="1">
      <alignment horizontal="left" vertical="center" textRotation="90"/>
      <protection locked="0"/>
    </xf>
    <xf numFmtId="0" fontId="50" fillId="0" borderId="0" xfId="0" applyFont="1" applyAlignment="1" applyProtection="1">
      <alignment horizontal="left" vertical="center" textRotation="90" wrapText="1"/>
      <protection locked="0"/>
    </xf>
    <xf numFmtId="0" fontId="50" fillId="0" borderId="0" xfId="0" applyFont="1" applyAlignment="1">
      <alignment horizontal="left" vertical="center" textRotation="90"/>
    </xf>
    <xf numFmtId="0" fontId="43" fillId="0" borderId="0" xfId="0" applyFont="1" applyFill="1" applyBorder="1" applyAlignment="1">
      <alignment horizontal="left" wrapText="1"/>
    </xf>
    <xf numFmtId="0" fontId="43" fillId="0" borderId="0" xfId="0" applyFont="1" applyAlignment="1">
      <alignment horizontal="justify" wrapText="1"/>
    </xf>
    <xf numFmtId="0" fontId="50" fillId="0" borderId="0" xfId="0" applyFont="1" applyBorder="1" applyAlignment="1" applyProtection="1">
      <alignment horizontal="left" vertical="center" textRotation="90"/>
      <protection locked="0"/>
    </xf>
    <xf numFmtId="0" fontId="50" fillId="0" borderId="0" xfId="0" applyFont="1" applyBorder="1" applyAlignment="1" applyProtection="1">
      <alignment horizontal="left" vertical="center" textRotation="90" wrapText="1"/>
      <protection locked="0"/>
    </xf>
    <xf numFmtId="0" fontId="60" fillId="0" borderId="0" xfId="0" applyFont="1" applyBorder="1" applyAlignment="1" applyProtection="1">
      <alignment horizontal="center" vertical="center" textRotation="90" wrapText="1"/>
      <protection locked="0"/>
    </xf>
  </cellXfs>
  <cellStyles count="352">
    <cellStyle name="Обычный" xfId="0" builtinId="0"/>
    <cellStyle name="Обычный 2" xfId="1"/>
    <cellStyle name="Обычный 2 10" xfId="227"/>
    <cellStyle name="Обычный 2 11" xfId="125"/>
    <cellStyle name="Обычный 2 2" xfId="3"/>
    <cellStyle name="Обычный 2 3" xfId="9"/>
    <cellStyle name="Обычный 2 3 2" xfId="27"/>
    <cellStyle name="Обычный 2 3 2 2" xfId="91"/>
    <cellStyle name="Обычный 2 3 2 2 2" xfId="300"/>
    <cellStyle name="Обычный 2 3 2 2 3" xfId="215"/>
    <cellStyle name="Обычный 2 3 2 3" xfId="335"/>
    <cellStyle name="Обычный 2 3 2 4" xfId="249"/>
    <cellStyle name="Обычный 2 3 2 5" xfId="164"/>
    <cellStyle name="Обычный 2 3 3" xfId="73"/>
    <cellStyle name="Обычный 2 3 3 2" xfId="264"/>
    <cellStyle name="Обычный 2 3 3 3" xfId="179"/>
    <cellStyle name="Обычный 2 3 4" xfId="119"/>
    <cellStyle name="Обычный 2 3 4 2" xfId="282"/>
    <cellStyle name="Обычный 2 3 4 3" xfId="197"/>
    <cellStyle name="Обычный 2 3 5" xfId="56"/>
    <cellStyle name="Обычный 2 3 5 2" xfId="317"/>
    <cellStyle name="Обычный 2 3 5 3" xfId="147"/>
    <cellStyle name="Обычный 2 3 6" xfId="232"/>
    <cellStyle name="Обычный 2 3 7" xfId="130"/>
    <cellStyle name="Обычный 2 4" xfId="14"/>
    <cellStyle name="Обычный 2 4 2" xfId="32"/>
    <cellStyle name="Обычный 2 4 2 2" xfId="96"/>
    <cellStyle name="Обычный 2 4 2 2 2" xfId="305"/>
    <cellStyle name="Обычный 2 4 2 2 3" xfId="220"/>
    <cellStyle name="Обычный 2 4 2 3" xfId="340"/>
    <cellStyle name="Обычный 2 4 2 4" xfId="269"/>
    <cellStyle name="Обычный 2 4 2 5" xfId="184"/>
    <cellStyle name="Обычный 2 4 3" xfId="78"/>
    <cellStyle name="Обычный 2 4 3 2" xfId="287"/>
    <cellStyle name="Обычный 2 4 3 3" xfId="202"/>
    <cellStyle name="Обычный 2 4 4" xfId="114"/>
    <cellStyle name="Обычный 2 4 4 2" xfId="322"/>
    <cellStyle name="Обычный 2 4 4 3" xfId="169"/>
    <cellStyle name="Обычный 2 4 5" xfId="61"/>
    <cellStyle name="Обычный 2 4 5 2" xfId="254"/>
    <cellStyle name="Обычный 2 4 6" xfId="135"/>
    <cellStyle name="Обычный 2 5" xfId="21"/>
    <cellStyle name="Обычный 2 5 2" xfId="85"/>
    <cellStyle name="Обычный 2 5 2 2" xfId="276"/>
    <cellStyle name="Обычный 2 5 2 3" xfId="191"/>
    <cellStyle name="Обычный 2 5 3" xfId="109"/>
    <cellStyle name="Обычный 2 5 3 2" xfId="294"/>
    <cellStyle name="Обычный 2 5 3 3" xfId="209"/>
    <cellStyle name="Обычный 2 5 4" xfId="51"/>
    <cellStyle name="Обычный 2 5 4 2" xfId="329"/>
    <cellStyle name="Обычный 2 5 5" xfId="244"/>
    <cellStyle name="Обычный 2 5 6" xfId="159"/>
    <cellStyle name="Обычный 2 6" xfId="22"/>
    <cellStyle name="Обычный 2 6 2" xfId="86"/>
    <cellStyle name="Обычный 2 6 2 2" xfId="295"/>
    <cellStyle name="Обычный 2 6 2 3" xfId="210"/>
    <cellStyle name="Обычный 2 6 3" xfId="330"/>
    <cellStyle name="Обычный 2 6 4" xfId="240"/>
    <cellStyle name="Обычный 2 6 5" xfId="155"/>
    <cellStyle name="Обычный 2 7" xfId="68"/>
    <cellStyle name="Обычный 2 7 2" xfId="259"/>
    <cellStyle name="Обычный 2 7 3" xfId="174"/>
    <cellStyle name="Обычный 2 8" xfId="103"/>
    <cellStyle name="Обычный 2 8 2" xfId="277"/>
    <cellStyle name="Обычный 2 8 3" xfId="192"/>
    <cellStyle name="Обычный 2 9" xfId="44"/>
    <cellStyle name="Обычный 2 9 2" xfId="312"/>
    <cellStyle name="Обычный 2 9 3" xfId="142"/>
    <cellStyle name="Обычный 3" xfId="2"/>
    <cellStyle name="Обычный 3 10" xfId="143"/>
    <cellStyle name="Обычный 3 10 2" xfId="313"/>
    <cellStyle name="Обычный 3 11" xfId="228"/>
    <cellStyle name="Обычный 3 12" xfId="126"/>
    <cellStyle name="Обычный 3 2" xfId="7"/>
    <cellStyle name="Обычный 3 2 2" xfId="120"/>
    <cellStyle name="Обычный 3 3" xfId="6"/>
    <cellStyle name="Обычный 3 3 2" xfId="115"/>
    <cellStyle name="Обычный 3 4" xfId="10"/>
    <cellStyle name="Обычный 3 4 2" xfId="28"/>
    <cellStyle name="Обычный 3 4 2 2" xfId="92"/>
    <cellStyle name="Обычный 3 4 2 2 2" xfId="301"/>
    <cellStyle name="Обычный 3 4 2 2 3" xfId="216"/>
    <cellStyle name="Обычный 3 4 2 3" xfId="336"/>
    <cellStyle name="Обычный 3 4 2 4" xfId="250"/>
    <cellStyle name="Обычный 3 4 2 5" xfId="165"/>
    <cellStyle name="Обычный 3 4 3" xfId="74"/>
    <cellStyle name="Обычный 3 4 3 2" xfId="265"/>
    <cellStyle name="Обычный 3 4 3 3" xfId="180"/>
    <cellStyle name="Обычный 3 4 4" xfId="110"/>
    <cellStyle name="Обычный 3 4 4 2" xfId="283"/>
    <cellStyle name="Обычный 3 4 4 3" xfId="198"/>
    <cellStyle name="Обычный 3 4 5" xfId="57"/>
    <cellStyle name="Обычный 3 4 5 2" xfId="318"/>
    <cellStyle name="Обычный 3 4 5 3" xfId="148"/>
    <cellStyle name="Обычный 3 4 6" xfId="233"/>
    <cellStyle name="Обычный 3 4 7" xfId="131"/>
    <cellStyle name="Обычный 3 5" xfId="15"/>
    <cellStyle name="Обычный 3 5 2" xfId="33"/>
    <cellStyle name="Обычный 3 5 2 2" xfId="97"/>
    <cellStyle name="Обычный 3 5 2 2 2" xfId="306"/>
    <cellStyle name="Обычный 3 5 2 2 3" xfId="221"/>
    <cellStyle name="Обычный 3 5 2 3" xfId="341"/>
    <cellStyle name="Обычный 3 5 2 4" xfId="270"/>
    <cellStyle name="Обычный 3 5 2 5" xfId="185"/>
    <cellStyle name="Обычный 3 5 3" xfId="79"/>
    <cellStyle name="Обычный 3 5 3 2" xfId="288"/>
    <cellStyle name="Обычный 3 5 3 3" xfId="203"/>
    <cellStyle name="Обычный 3 5 4" xfId="62"/>
    <cellStyle name="Обычный 3 5 4 2" xfId="323"/>
    <cellStyle name="Обычный 3 5 4 3" xfId="170"/>
    <cellStyle name="Обычный 3 5 5" xfId="255"/>
    <cellStyle name="Обычный 3 5 6" xfId="136"/>
    <cellStyle name="Обычный 3 6" xfId="23"/>
    <cellStyle name="Обычный 3 6 2" xfId="87"/>
    <cellStyle name="Обычный 3 6 2 2" xfId="296"/>
    <cellStyle name="Обычный 3 6 2 3" xfId="211"/>
    <cellStyle name="Обычный 3 6 3" xfId="52"/>
    <cellStyle name="Обычный 3 6 3 2" xfId="331"/>
    <cellStyle name="Обычный 3 6 4" xfId="245"/>
    <cellStyle name="Обычный 3 6 5" xfId="160"/>
    <cellStyle name="Обычный 3 7" xfId="69"/>
    <cellStyle name="Обычный 3 7 2" xfId="241"/>
    <cellStyle name="Обычный 3 7 3" xfId="156"/>
    <cellStyle name="Обычный 3 8" xfId="104"/>
    <cellStyle name="Обычный 3 8 2" xfId="260"/>
    <cellStyle name="Обычный 3 8 3" xfId="175"/>
    <cellStyle name="Обычный 3 9" xfId="45"/>
    <cellStyle name="Обычный 3 9 2" xfId="278"/>
    <cellStyle name="Обычный 3 9 3" xfId="193"/>
    <cellStyle name="Обычный 4" xfId="4"/>
    <cellStyle name="Обычный 4 10" xfId="127"/>
    <cellStyle name="Обычный 4 2" xfId="11"/>
    <cellStyle name="Обычный 4 2 2" xfId="20"/>
    <cellStyle name="Обычный 4 2 2 2" xfId="84"/>
    <cellStyle name="Обычный 4 2 2 2 2" xfId="275"/>
    <cellStyle name="Обычный 4 2 2 2 3" xfId="190"/>
    <cellStyle name="Обычный 4 2 2 3" xfId="67"/>
    <cellStyle name="Обычный 4 2 2 3 2" xfId="293"/>
    <cellStyle name="Обычный 4 2 2 3 3" xfId="208"/>
    <cellStyle name="Обычный 4 2 2 4" xfId="328"/>
    <cellStyle name="Обычный 4 2 2 5" xfId="239"/>
    <cellStyle name="Обычный 4 2 2 6" xfId="154"/>
    <cellStyle name="Обычный 4 2 3" xfId="29"/>
    <cellStyle name="Обычный 4 2 3 2" xfId="93"/>
    <cellStyle name="Обычный 4 2 3 2 2" xfId="302"/>
    <cellStyle name="Обычный 4 2 3 2 3" xfId="217"/>
    <cellStyle name="Обычный 4 2 3 3" xfId="58"/>
    <cellStyle name="Обычный 4 2 3 3 2" xfId="337"/>
    <cellStyle name="Обычный 4 2 3 4" xfId="251"/>
    <cellStyle name="Обычный 4 2 3 5" xfId="166"/>
    <cellStyle name="Обычный 4 2 4" xfId="75"/>
    <cellStyle name="Обычный 4 2 4 2" xfId="266"/>
    <cellStyle name="Обычный 4 2 4 3" xfId="181"/>
    <cellStyle name="Обычный 4 2 5" xfId="121"/>
    <cellStyle name="Обычный 4 2 5 2" xfId="284"/>
    <cellStyle name="Обычный 4 2 5 3" xfId="199"/>
    <cellStyle name="Обычный 4 2 6" xfId="50"/>
    <cellStyle name="Обычный 4 2 6 2" xfId="319"/>
    <cellStyle name="Обычный 4 2 6 3" xfId="149"/>
    <cellStyle name="Обычный 4 2 7" xfId="234"/>
    <cellStyle name="Обычный 4 2 8" xfId="132"/>
    <cellStyle name="Обычный 4 3" xfId="16"/>
    <cellStyle name="Обычный 4 3 2" xfId="34"/>
    <cellStyle name="Обычный 4 3 2 2" xfId="98"/>
    <cellStyle name="Обычный 4 3 2 2 2" xfId="307"/>
    <cellStyle name="Обычный 4 3 2 2 3" xfId="222"/>
    <cellStyle name="Обычный 4 3 2 3" xfId="342"/>
    <cellStyle name="Обычный 4 3 2 4" xfId="271"/>
    <cellStyle name="Обычный 4 3 2 5" xfId="186"/>
    <cellStyle name="Обычный 4 3 3" xfId="80"/>
    <cellStyle name="Обычный 4 3 3 2" xfId="289"/>
    <cellStyle name="Обычный 4 3 3 3" xfId="204"/>
    <cellStyle name="Обычный 4 3 4" xfId="116"/>
    <cellStyle name="Обычный 4 3 4 2" xfId="324"/>
    <cellStyle name="Обычный 4 3 4 3" xfId="171"/>
    <cellStyle name="Обычный 4 3 5" xfId="63"/>
    <cellStyle name="Обычный 4 3 5 2" xfId="256"/>
    <cellStyle name="Обычный 4 3 6" xfId="137"/>
    <cellStyle name="Обычный 4 4" xfId="24"/>
    <cellStyle name="Обычный 4 4 2" xfId="88"/>
    <cellStyle name="Обычный 4 4 2 2" xfId="297"/>
    <cellStyle name="Обычный 4 4 2 3" xfId="212"/>
    <cellStyle name="Обычный 4 4 3" xfId="111"/>
    <cellStyle name="Обычный 4 4 3 2" xfId="332"/>
    <cellStyle name="Обычный 4 4 4" xfId="53"/>
    <cellStyle name="Обычный 4 4 4 2" xfId="246"/>
    <cellStyle name="Обычный 4 4 5" xfId="161"/>
    <cellStyle name="Обычный 4 5" xfId="41"/>
    <cellStyle name="Обычный 4 5 2" xfId="70"/>
    <cellStyle name="Обычный 4 5 2 2" xfId="349"/>
    <cellStyle name="Обычный 4 5 3" xfId="261"/>
    <cellStyle name="Обычный 4 5 4" xfId="176"/>
    <cellStyle name="Обычный 4 6" xfId="105"/>
    <cellStyle name="Обычный 4 6 2" xfId="279"/>
    <cellStyle name="Обычный 4 6 3" xfId="194"/>
    <cellStyle name="Обычный 4 7" xfId="46"/>
    <cellStyle name="Обычный 4 7 2" xfId="314"/>
    <cellStyle name="Обычный 4 7 3" xfId="144"/>
    <cellStyle name="Обычный 4 8" xfId="229"/>
    <cellStyle name="Обычный 4 9" xfId="43"/>
    <cellStyle name="Обычный 4 9 2" xfId="124"/>
    <cellStyle name="Обычный 4 9 3" xfId="351"/>
    <cellStyle name="Обычный 5" xfId="5"/>
    <cellStyle name="Обычный 5 2" xfId="12"/>
    <cellStyle name="Обычный 5 2 2" xfId="30"/>
    <cellStyle name="Обычный 5 2 2 2" xfId="94"/>
    <cellStyle name="Обычный 5 2 2 2 2" xfId="303"/>
    <cellStyle name="Обычный 5 2 2 2 3" xfId="218"/>
    <cellStyle name="Обычный 5 2 2 3" xfId="338"/>
    <cellStyle name="Обычный 5 2 2 4" xfId="252"/>
    <cellStyle name="Обычный 5 2 2 5" xfId="167"/>
    <cellStyle name="Обычный 5 2 3" xfId="76"/>
    <cellStyle name="Обычный 5 2 3 2" xfId="267"/>
    <cellStyle name="Обычный 5 2 3 3" xfId="182"/>
    <cellStyle name="Обычный 5 2 4" xfId="122"/>
    <cellStyle name="Обычный 5 2 4 2" xfId="285"/>
    <cellStyle name="Обычный 5 2 4 3" xfId="200"/>
    <cellStyle name="Обычный 5 2 5" xfId="59"/>
    <cellStyle name="Обычный 5 2 5 2" xfId="320"/>
    <cellStyle name="Обычный 5 2 5 3" xfId="150"/>
    <cellStyle name="Обычный 5 2 6" xfId="235"/>
    <cellStyle name="Обычный 5 2 7" xfId="133"/>
    <cellStyle name="Обычный 5 3" xfId="17"/>
    <cellStyle name="Обычный 5 3 2" xfId="35"/>
    <cellStyle name="Обычный 5 3 2 2" xfId="117"/>
    <cellStyle name="Обычный 5 3 2 2 2" xfId="308"/>
    <cellStyle name="Обычный 5 3 2 2 3" xfId="223"/>
    <cellStyle name="Обычный 5 3 2 3" xfId="99"/>
    <cellStyle name="Обычный 5 3 2 3 2" xfId="343"/>
    <cellStyle name="Обычный 5 3 2 4" xfId="272"/>
    <cellStyle name="Обычный 5 3 2 5" xfId="187"/>
    <cellStyle name="Обычный 5 3 3" xfId="81"/>
    <cellStyle name="Обычный 5 3 3 2" xfId="290"/>
    <cellStyle name="Обычный 5 3 3 3" xfId="205"/>
    <cellStyle name="Обычный 5 3 4" xfId="108"/>
    <cellStyle name="Обычный 5 3 4 2" xfId="325"/>
    <cellStyle name="Обычный 5 3 4 3" xfId="153"/>
    <cellStyle name="Обычный 5 3 5" xfId="64"/>
    <cellStyle name="Обычный 5 3 5 2" xfId="238"/>
    <cellStyle name="Обычный 5 3 6" xfId="138"/>
    <cellStyle name="Обычный 5 4" xfId="25"/>
    <cellStyle name="Обычный 5 4 2" xfId="89"/>
    <cellStyle name="Обычный 5 4 2 2" xfId="298"/>
    <cellStyle name="Обычный 5 4 2 3" xfId="213"/>
    <cellStyle name="Обычный 5 4 3" xfId="123"/>
    <cellStyle name="Обычный 5 4 3 2" xfId="333"/>
    <cellStyle name="Обычный 5 4 4" xfId="54"/>
    <cellStyle name="Обычный 5 4 4 2" xfId="247"/>
    <cellStyle name="Обычный 5 4 5" xfId="162"/>
    <cellStyle name="Обычный 5 5" xfId="71"/>
    <cellStyle name="Обычный 5 5 2" xfId="112"/>
    <cellStyle name="Обычный 5 5 2 2" xfId="262"/>
    <cellStyle name="Обычный 5 5 3" xfId="177"/>
    <cellStyle name="Обычный 5 6" xfId="106"/>
    <cellStyle name="Обычный 5 6 2" xfId="280"/>
    <cellStyle name="Обычный 5 6 3" xfId="195"/>
    <cellStyle name="Обычный 5 7" xfId="47"/>
    <cellStyle name="Обычный 5 7 2" xfId="315"/>
    <cellStyle name="Обычный 5 7 3" xfId="145"/>
    <cellStyle name="Обычный 5 8" xfId="230"/>
    <cellStyle name="Обычный 5 9" xfId="128"/>
    <cellStyle name="Обычный 6" xfId="8"/>
    <cellStyle name="Обычный 6 2" xfId="18"/>
    <cellStyle name="Обычный 6 2 2" xfId="36"/>
    <cellStyle name="Обычный 6 2 2 2" xfId="100"/>
    <cellStyle name="Обычный 6 2 2 2 2" xfId="309"/>
    <cellStyle name="Обычный 6 2 2 2 3" xfId="224"/>
    <cellStyle name="Обычный 6 2 2 3" xfId="344"/>
    <cellStyle name="Обычный 6 2 2 4" xfId="273"/>
    <cellStyle name="Обычный 6 2 2 5" xfId="188"/>
    <cellStyle name="Обычный 6 2 3" xfId="82"/>
    <cellStyle name="Обычный 6 2 3 2" xfId="291"/>
    <cellStyle name="Обычный 6 2 3 3" xfId="206"/>
    <cellStyle name="Обычный 6 2 4" xfId="118"/>
    <cellStyle name="Обычный 6 2 4 2" xfId="326"/>
    <cellStyle name="Обычный 6 2 4 3" xfId="172"/>
    <cellStyle name="Обычный 6 2 5" xfId="65"/>
    <cellStyle name="Обычный 6 2 5 2" xfId="257"/>
    <cellStyle name="Обычный 6 2 6" xfId="139"/>
    <cellStyle name="Обычный 6 3" xfId="26"/>
    <cellStyle name="Обычный 6 3 2" xfId="90"/>
    <cellStyle name="Обычный 6 3 2 2" xfId="299"/>
    <cellStyle name="Обычный 6 3 2 3" xfId="214"/>
    <cellStyle name="Обычный 6 3 3" xfId="113"/>
    <cellStyle name="Обычный 6 3 3 2" xfId="334"/>
    <cellStyle name="Обычный 6 3 4" xfId="55"/>
    <cellStyle name="Обычный 6 3 4 2" xfId="248"/>
    <cellStyle name="Обычный 6 3 5" xfId="163"/>
    <cellStyle name="Обычный 6 4" xfId="38"/>
    <cellStyle name="Обычный 6 4 2" xfId="102"/>
    <cellStyle name="Обычный 6 4 2 2" xfId="311"/>
    <cellStyle name="Обычный 6 4 2 3" xfId="226"/>
    <cellStyle name="Обычный 6 4 3" xfId="157"/>
    <cellStyle name="Обычный 6 4 3 2" xfId="346"/>
    <cellStyle name="Обычный 6 4 4" xfId="242"/>
    <cellStyle name="Обычный 6 4 5" xfId="141"/>
    <cellStyle name="Обычный 6 5" xfId="40"/>
    <cellStyle name="Обычный 6 5 2" xfId="72"/>
    <cellStyle name="Обычный 6 5 2 2" xfId="348"/>
    <cellStyle name="Обычный 6 5 3" xfId="263"/>
    <cellStyle name="Обычный 6 5 4" xfId="178"/>
    <cellStyle name="Обычный 6 6" xfId="42"/>
    <cellStyle name="Обычный 6 6 2" xfId="107"/>
    <cellStyle name="Обычный 6 6 2 2" xfId="350"/>
    <cellStyle name="Обычный 6 6 3" xfId="281"/>
    <cellStyle name="Обычный 6 6 4" xfId="196"/>
    <cellStyle name="Обычный 6 7" xfId="48"/>
    <cellStyle name="Обычный 6 7 2" xfId="316"/>
    <cellStyle name="Обычный 6 7 3" xfId="146"/>
    <cellStyle name="Обычный 6 8" xfId="231"/>
    <cellStyle name="Обычный 6 9" xfId="129"/>
    <cellStyle name="Обычный 7" xfId="13"/>
    <cellStyle name="Обычный 7 2" xfId="19"/>
    <cellStyle name="Обычный 7 2 2" xfId="37"/>
    <cellStyle name="Обычный 7 2 2 2" xfId="101"/>
    <cellStyle name="Обычный 7 2 2 2 2" xfId="310"/>
    <cellStyle name="Обычный 7 2 2 2 3" xfId="225"/>
    <cellStyle name="Обычный 7 2 2 3" xfId="345"/>
    <cellStyle name="Обычный 7 2 2 4" xfId="258"/>
    <cellStyle name="Обычный 7 2 2 5" xfId="173"/>
    <cellStyle name="Обычный 7 2 3" xfId="83"/>
    <cellStyle name="Обычный 7 2 3 2" xfId="274"/>
    <cellStyle name="Обычный 7 2 3 3" xfId="189"/>
    <cellStyle name="Обычный 7 2 4" xfId="66"/>
    <cellStyle name="Обычный 7 2 4 2" xfId="292"/>
    <cellStyle name="Обычный 7 2 4 3" xfId="207"/>
    <cellStyle name="Обычный 7 2 5" xfId="152"/>
    <cellStyle name="Обычный 7 2 5 2" xfId="327"/>
    <cellStyle name="Обычный 7 2 6" xfId="237"/>
    <cellStyle name="Обычный 7 2 7" xfId="140"/>
    <cellStyle name="Обычный 7 3" xfId="31"/>
    <cellStyle name="Обычный 7 3 2" xfId="95"/>
    <cellStyle name="Обычный 7 3 2 2" xfId="304"/>
    <cellStyle name="Обычный 7 3 2 3" xfId="219"/>
    <cellStyle name="Обычный 7 3 3" xfId="60"/>
    <cellStyle name="Обычный 7 3 3 2" xfId="339"/>
    <cellStyle name="Обычный 7 3 4" xfId="253"/>
    <cellStyle name="Обычный 7 3 5" xfId="168"/>
    <cellStyle name="Обычный 7 4" xfId="39"/>
    <cellStyle name="Обычный 7 4 2" xfId="77"/>
    <cellStyle name="Обычный 7 4 2 2" xfId="347"/>
    <cellStyle name="Обычный 7 4 3" xfId="243"/>
    <cellStyle name="Обычный 7 4 4" xfId="158"/>
    <cellStyle name="Обычный 7 5" xfId="49"/>
    <cellStyle name="Обычный 7 5 2" xfId="268"/>
    <cellStyle name="Обычный 7 5 3" xfId="183"/>
    <cellStyle name="Обычный 7 6" xfId="201"/>
    <cellStyle name="Обычный 7 6 2" xfId="286"/>
    <cellStyle name="Обычный 7 7" xfId="151"/>
    <cellStyle name="Обычный 7 7 2" xfId="321"/>
    <cellStyle name="Обычный 7 8" xfId="236"/>
    <cellStyle name="Обычный 7 9" xfId="13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25"/>
  <sheetViews>
    <sheetView tabSelected="1" view="pageBreakPreview" zoomScaleNormal="100" zoomScaleSheetLayoutView="100" workbookViewId="0">
      <selection activeCell="J160" sqref="J16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.7109375" style="1" customWidth="1"/>
    <col min="6" max="7" width="9.140625" style="1"/>
    <col min="8" max="8" width="16.140625" style="1" customWidth="1"/>
    <col min="9" max="9" width="4" style="1" customWidth="1"/>
    <col min="10" max="10" width="13.57031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243" t="s">
        <v>178</v>
      </c>
      <c r="B2" s="243"/>
      <c r="C2" s="243"/>
      <c r="D2" s="243"/>
      <c r="E2" s="243"/>
      <c r="F2" s="243"/>
      <c r="G2" s="243"/>
      <c r="H2" s="243"/>
      <c r="I2" s="243"/>
      <c r="J2" s="243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5">
        <v>44927</v>
      </c>
      <c r="K4" s="108"/>
      <c r="L4" s="108"/>
      <c r="M4" s="108"/>
      <c r="N4" s="108"/>
    </row>
    <row r="5" spans="1:18">
      <c r="A5" s="1" t="s">
        <v>1</v>
      </c>
      <c r="E5" s="115">
        <v>45291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240" t="s">
        <v>2</v>
      </c>
      <c r="B8" s="241"/>
      <c r="C8" s="241"/>
      <c r="D8" s="241"/>
      <c r="E8" s="241"/>
      <c r="F8" s="241"/>
      <c r="G8" s="241"/>
      <c r="H8" s="241"/>
      <c r="I8" s="242"/>
      <c r="J8" s="17">
        <f t="shared" ref="J8:J24" si="0">VLOOKUP(O8,АО,3,FALSE)</f>
        <v>0</v>
      </c>
      <c r="K8" s="108"/>
      <c r="L8" s="244"/>
      <c r="M8" s="108"/>
      <c r="N8" s="108"/>
      <c r="O8" s="69" t="s">
        <v>81</v>
      </c>
      <c r="R8" s="16"/>
    </row>
    <row r="9" spans="1:18" ht="18.75" customHeight="1" outlineLevel="1">
      <c r="A9" s="240" t="s">
        <v>3</v>
      </c>
      <c r="B9" s="241"/>
      <c r="C9" s="241"/>
      <c r="D9" s="241"/>
      <c r="E9" s="241"/>
      <c r="F9" s="241"/>
      <c r="G9" s="241"/>
      <c r="H9" s="241"/>
      <c r="I9" s="242"/>
      <c r="J9" s="17">
        <f t="shared" si="0"/>
        <v>0</v>
      </c>
      <c r="K9" s="108"/>
      <c r="L9" s="244"/>
      <c r="M9" s="108"/>
      <c r="N9" s="108"/>
      <c r="O9" s="69" t="s">
        <v>82</v>
      </c>
    </row>
    <row r="10" spans="1:18" ht="18.75" customHeight="1" outlineLevel="1">
      <c r="A10" s="240" t="s">
        <v>4</v>
      </c>
      <c r="B10" s="241"/>
      <c r="C10" s="241"/>
      <c r="D10" s="241"/>
      <c r="E10" s="241"/>
      <c r="F10" s="241"/>
      <c r="G10" s="241"/>
      <c r="H10" s="241"/>
      <c r="I10" s="242"/>
      <c r="J10" s="17">
        <f t="shared" si="0"/>
        <v>425065.31</v>
      </c>
      <c r="K10" s="108"/>
      <c r="L10" s="244"/>
      <c r="M10" s="108"/>
      <c r="N10" s="108"/>
      <c r="O10" s="69" t="s">
        <v>83</v>
      </c>
    </row>
    <row r="11" spans="1:18" outlineLevel="1">
      <c r="A11" s="240" t="s">
        <v>5</v>
      </c>
      <c r="B11" s="241"/>
      <c r="C11" s="241"/>
      <c r="D11" s="241"/>
      <c r="E11" s="241"/>
      <c r="F11" s="241"/>
      <c r="G11" s="241"/>
      <c r="H11" s="241"/>
      <c r="I11" s="242"/>
      <c r="J11" s="17">
        <f t="shared" si="0"/>
        <v>3950510.86</v>
      </c>
      <c r="K11" s="108"/>
      <c r="L11" s="244"/>
      <c r="M11" s="108"/>
      <c r="N11" s="108"/>
      <c r="O11" s="69" t="s">
        <v>84</v>
      </c>
    </row>
    <row r="12" spans="1:18" ht="18.75" customHeight="1" outlineLevel="1">
      <c r="A12" s="240" t="s">
        <v>6</v>
      </c>
      <c r="B12" s="241"/>
      <c r="C12" s="241"/>
      <c r="D12" s="241"/>
      <c r="E12" s="241"/>
      <c r="F12" s="241"/>
      <c r="G12" s="241"/>
      <c r="H12" s="241"/>
      <c r="I12" s="242"/>
      <c r="J12" s="17">
        <f t="shared" si="0"/>
        <v>2330489.5</v>
      </c>
      <c r="K12" s="108"/>
      <c r="L12" s="244"/>
      <c r="M12" s="108"/>
      <c r="N12" s="108"/>
      <c r="O12" s="69" t="s">
        <v>85</v>
      </c>
    </row>
    <row r="13" spans="1:18" ht="18.75" customHeight="1" outlineLevel="1">
      <c r="A13" s="240" t="s">
        <v>7</v>
      </c>
      <c r="B13" s="241"/>
      <c r="C13" s="241"/>
      <c r="D13" s="241"/>
      <c r="E13" s="241"/>
      <c r="F13" s="241"/>
      <c r="G13" s="241"/>
      <c r="H13" s="241"/>
      <c r="I13" s="242"/>
      <c r="J13" s="17">
        <f t="shared" si="0"/>
        <v>832110</v>
      </c>
      <c r="K13" s="108"/>
      <c r="L13" s="244"/>
      <c r="M13" s="108"/>
      <c r="N13" s="108"/>
      <c r="O13" s="69" t="s">
        <v>86</v>
      </c>
    </row>
    <row r="14" spans="1:18" ht="18.75" customHeight="1" outlineLevel="1">
      <c r="A14" s="240" t="s">
        <v>8</v>
      </c>
      <c r="B14" s="241"/>
      <c r="C14" s="241"/>
      <c r="D14" s="241"/>
      <c r="E14" s="241"/>
      <c r="F14" s="241"/>
      <c r="G14" s="241"/>
      <c r="H14" s="241"/>
      <c r="I14" s="242"/>
      <c r="J14" s="17">
        <f t="shared" si="0"/>
        <v>787911.36</v>
      </c>
      <c r="K14" s="108"/>
      <c r="L14" s="244"/>
      <c r="M14" s="108"/>
      <c r="N14" s="108"/>
      <c r="O14" s="69" t="s">
        <v>87</v>
      </c>
    </row>
    <row r="15" spans="1:18" ht="18.75" customHeight="1" outlineLevel="1">
      <c r="A15" s="240" t="s">
        <v>9</v>
      </c>
      <c r="B15" s="241"/>
      <c r="C15" s="241"/>
      <c r="D15" s="241"/>
      <c r="E15" s="241"/>
      <c r="F15" s="241"/>
      <c r="G15" s="241"/>
      <c r="H15" s="241"/>
      <c r="I15" s="242"/>
      <c r="J15" s="17">
        <f t="shared" si="0"/>
        <v>4211928.51</v>
      </c>
      <c r="K15" s="108"/>
      <c r="L15" s="244"/>
      <c r="M15" s="108"/>
      <c r="N15" s="108"/>
      <c r="O15" s="69" t="s">
        <v>88</v>
      </c>
    </row>
    <row r="16" spans="1:18" ht="18.75" customHeight="1" outlineLevel="1">
      <c r="A16" s="240" t="s">
        <v>10</v>
      </c>
      <c r="B16" s="241"/>
      <c r="C16" s="241"/>
      <c r="D16" s="241"/>
      <c r="E16" s="241"/>
      <c r="F16" s="241"/>
      <c r="G16" s="241"/>
      <c r="H16" s="241"/>
      <c r="I16" s="242"/>
      <c r="J16" s="17">
        <f t="shared" si="0"/>
        <v>4211928.51</v>
      </c>
      <c r="K16" s="108"/>
      <c r="L16" s="244"/>
      <c r="M16" s="108"/>
      <c r="N16" s="108"/>
      <c r="O16" s="69" t="s">
        <v>89</v>
      </c>
    </row>
    <row r="17" spans="1:23" ht="18.75" customHeight="1" outlineLevel="1">
      <c r="A17" s="240" t="s">
        <v>11</v>
      </c>
      <c r="B17" s="241"/>
      <c r="C17" s="241"/>
      <c r="D17" s="241"/>
      <c r="E17" s="241"/>
      <c r="F17" s="241"/>
      <c r="G17" s="241"/>
      <c r="H17" s="241"/>
      <c r="I17" s="242"/>
      <c r="J17" s="17">
        <f t="shared" si="0"/>
        <v>0</v>
      </c>
      <c r="K17" s="108"/>
      <c r="L17" s="244"/>
      <c r="M17" s="108"/>
      <c r="N17" s="108"/>
      <c r="O17" s="69" t="s">
        <v>90</v>
      </c>
    </row>
    <row r="18" spans="1:23" ht="18.75" customHeight="1" outlineLevel="1">
      <c r="A18" s="240" t="s">
        <v>12</v>
      </c>
      <c r="B18" s="241"/>
      <c r="C18" s="241"/>
      <c r="D18" s="241"/>
      <c r="E18" s="241"/>
      <c r="F18" s="241"/>
      <c r="G18" s="241"/>
      <c r="H18" s="241"/>
      <c r="I18" s="242"/>
      <c r="J18" s="17">
        <f t="shared" si="0"/>
        <v>0</v>
      </c>
      <c r="K18" s="108"/>
      <c r="L18" s="244"/>
      <c r="M18" s="108"/>
      <c r="N18" s="108"/>
      <c r="O18" s="69" t="s">
        <v>91</v>
      </c>
    </row>
    <row r="19" spans="1:23" ht="18.75" customHeight="1" outlineLevel="1">
      <c r="A19" s="240" t="s">
        <v>13</v>
      </c>
      <c r="B19" s="241"/>
      <c r="C19" s="241"/>
      <c r="D19" s="241"/>
      <c r="E19" s="241"/>
      <c r="F19" s="241"/>
      <c r="G19" s="241"/>
      <c r="H19" s="241"/>
      <c r="I19" s="242"/>
      <c r="J19" s="17">
        <f t="shared" si="0"/>
        <v>0</v>
      </c>
      <c r="K19" s="108"/>
      <c r="L19" s="244"/>
      <c r="M19" s="108"/>
      <c r="N19" s="108"/>
      <c r="O19" s="69" t="s">
        <v>92</v>
      </c>
    </row>
    <row r="20" spans="1:23" ht="18.75" customHeight="1" outlineLevel="1">
      <c r="A20" s="240" t="s">
        <v>14</v>
      </c>
      <c r="B20" s="241"/>
      <c r="C20" s="241"/>
      <c r="D20" s="241"/>
      <c r="E20" s="241"/>
      <c r="F20" s="241"/>
      <c r="G20" s="241"/>
      <c r="H20" s="241"/>
      <c r="I20" s="242"/>
      <c r="J20" s="17">
        <f t="shared" si="0"/>
        <v>0</v>
      </c>
      <c r="K20" s="108"/>
      <c r="L20" s="244"/>
      <c r="M20" s="108"/>
      <c r="N20" s="108"/>
      <c r="O20" s="69" t="s">
        <v>93</v>
      </c>
    </row>
    <row r="21" spans="1:23" ht="18.75" customHeight="1" outlineLevel="1">
      <c r="A21" s="240" t="s">
        <v>15</v>
      </c>
      <c r="B21" s="241"/>
      <c r="C21" s="241"/>
      <c r="D21" s="241"/>
      <c r="E21" s="241"/>
      <c r="F21" s="241"/>
      <c r="G21" s="241"/>
      <c r="H21" s="241"/>
      <c r="I21" s="242"/>
      <c r="J21" s="17">
        <f t="shared" si="0"/>
        <v>4211928.51</v>
      </c>
      <c r="K21" s="108"/>
      <c r="L21" s="244"/>
      <c r="M21" s="108"/>
      <c r="N21" s="108"/>
      <c r="O21" s="69" t="s">
        <v>94</v>
      </c>
    </row>
    <row r="22" spans="1:23" ht="18.75" customHeight="1" outlineLevel="1">
      <c r="A22" s="240" t="s">
        <v>16</v>
      </c>
      <c r="B22" s="241"/>
      <c r="C22" s="241"/>
      <c r="D22" s="241"/>
      <c r="E22" s="241"/>
      <c r="F22" s="241"/>
      <c r="G22" s="241"/>
      <c r="H22" s="241"/>
      <c r="I22" s="242"/>
      <c r="J22" s="17">
        <f t="shared" si="0"/>
        <v>0</v>
      </c>
      <c r="K22" s="108"/>
      <c r="L22" s="244"/>
      <c r="M22" s="108"/>
      <c r="N22" s="108"/>
      <c r="O22" s="69" t="s">
        <v>95</v>
      </c>
    </row>
    <row r="23" spans="1:23" ht="18.75" customHeight="1" outlineLevel="1">
      <c r="A23" s="240" t="s">
        <v>17</v>
      </c>
      <c r="B23" s="241"/>
      <c r="C23" s="241"/>
      <c r="D23" s="241"/>
      <c r="E23" s="241"/>
      <c r="F23" s="241"/>
      <c r="G23" s="241"/>
      <c r="H23" s="241"/>
      <c r="I23" s="242"/>
      <c r="J23" s="17">
        <f t="shared" si="0"/>
        <v>0</v>
      </c>
      <c r="K23" s="108"/>
      <c r="L23" s="244"/>
      <c r="M23" s="108"/>
      <c r="N23" s="108"/>
      <c r="O23" s="69" t="s">
        <v>96</v>
      </c>
    </row>
    <row r="24" spans="1:23" ht="18.75" customHeight="1" outlineLevel="1">
      <c r="A24" s="240" t="s">
        <v>18</v>
      </c>
      <c r="B24" s="241"/>
      <c r="C24" s="241"/>
      <c r="D24" s="241"/>
      <c r="E24" s="241"/>
      <c r="F24" s="241"/>
      <c r="G24" s="241"/>
      <c r="H24" s="241"/>
      <c r="I24" s="242"/>
      <c r="J24" s="17">
        <f t="shared" si="0"/>
        <v>163647.66000000015</v>
      </c>
      <c r="K24" s="108"/>
      <c r="L24" s="244"/>
      <c r="M24" s="108"/>
      <c r="N24" s="108"/>
      <c r="O24" s="69" t="s">
        <v>97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227" t="s">
        <v>19</v>
      </c>
      <c r="B27" s="227"/>
      <c r="C27" s="227"/>
      <c r="D27" s="227"/>
      <c r="E27" s="227"/>
      <c r="F27" s="227" t="s">
        <v>20</v>
      </c>
      <c r="G27" s="227"/>
      <c r="H27" s="5" t="s">
        <v>57</v>
      </c>
      <c r="I27" s="227" t="s">
        <v>21</v>
      </c>
      <c r="J27" s="227"/>
      <c r="K27" s="108"/>
      <c r="L27" s="245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22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221"/>
      <c r="C28" s="221"/>
      <c r="D28" s="221"/>
      <c r="E28" s="221"/>
      <c r="F28" s="222">
        <f>VLOOKUP(A28,ПТО!$A$39:$D$53,2,FALSE)</f>
        <v>818787.24</v>
      </c>
      <c r="G28" s="222"/>
      <c r="H28" s="6" t="str">
        <f>VLOOKUP(A28,ПТО!$A$39:$D$53,3,FALSE)</f>
        <v>Ежемесячно</v>
      </c>
      <c r="I28" s="223">
        <f>VLOOKUP(A28,ПТО!$A$39:$D$53,4,FALSE)</f>
        <v>12</v>
      </c>
      <c r="J28" s="223"/>
      <c r="K28" s="108"/>
      <c r="L28" s="245"/>
      <c r="M28" s="108"/>
      <c r="N28" s="108"/>
      <c r="O28" s="23" t="str">
        <f t="shared" ref="O28:O77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221" t="str">
        <f>ПТО!A40</f>
        <v>Работы по содержанию лифта (лифтов)</v>
      </c>
      <c r="B29" s="221"/>
      <c r="C29" s="221"/>
      <c r="D29" s="221"/>
      <c r="E29" s="221"/>
      <c r="F29" s="222">
        <f>VLOOKUP(A29,ПТО!$A$39:$D$53,2,FALSE)</f>
        <v>298343.52</v>
      </c>
      <c r="G29" s="222"/>
      <c r="H29" s="41" t="str">
        <f>VLOOKUP(A29,ПТО!$A$39:$D$53,3,FALSE)</f>
        <v>Ежемесячно</v>
      </c>
      <c r="I29" s="223">
        <f>VLOOKUP(A29,ПТО!$A$39:$D$53,4,FALSE)</f>
        <v>12</v>
      </c>
      <c r="J29" s="223"/>
      <c r="K29" s="108"/>
      <c r="L29" s="245"/>
      <c r="M29" s="108"/>
      <c r="N29" s="108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22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221"/>
      <c r="C30" s="221"/>
      <c r="D30" s="221"/>
      <c r="E30" s="221"/>
      <c r="F30" s="222">
        <f>VLOOKUP(A30,ПТО!$A$39:$D$53,2,FALSE)</f>
        <v>339780.12</v>
      </c>
      <c r="G30" s="222"/>
      <c r="H30" s="41" t="str">
        <f>VLOOKUP(A30,ПТО!$A$39:$D$53,3,FALSE)</f>
        <v>В соответствии с графиком</v>
      </c>
      <c r="I30" s="223">
        <f>VLOOKUP(A30,ПТО!$A$39:$D$53,4,FALSE)</f>
        <v>12</v>
      </c>
      <c r="J30" s="223"/>
      <c r="K30" s="108"/>
      <c r="L30" s="245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221" t="str">
        <f>ПТО!A42</f>
        <v>Работы, выполняемые для надлежащего содержания электрооборудования дома</v>
      </c>
      <c r="B31" s="221"/>
      <c r="C31" s="221"/>
      <c r="D31" s="221"/>
      <c r="E31" s="221"/>
      <c r="F31" s="222">
        <f>VLOOKUP(A31,ПТО!$A$39:$D$53,2,FALSE)</f>
        <v>195580.79999999999</v>
      </c>
      <c r="G31" s="222"/>
      <c r="H31" s="41" t="str">
        <f>VLOOKUP(A31,ПТО!$A$39:$D$53,3,FALSE)</f>
        <v>Ежемесячно</v>
      </c>
      <c r="I31" s="223">
        <f>VLOOKUP(A31,ПТО!$A$39:$D$53,4,FALSE)</f>
        <v>12</v>
      </c>
      <c r="J31" s="223"/>
      <c r="K31" s="108"/>
      <c r="L31" s="245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221">
        <f>ПТО!A43</f>
        <v>0</v>
      </c>
      <c r="B32" s="221"/>
      <c r="C32" s="221"/>
      <c r="D32" s="221"/>
      <c r="E32" s="221"/>
      <c r="F32" s="222" t="e">
        <f>VLOOKUP(A32,ПТО!$A$39:$D$53,2,FALSE)</f>
        <v>#N/A</v>
      </c>
      <c r="G32" s="222"/>
      <c r="H32" s="41" t="e">
        <f>VLOOKUP(A32,ПТО!$A$39:$D$53,3,FALSE)</f>
        <v>#N/A</v>
      </c>
      <c r="I32" s="223" t="e">
        <f>VLOOKUP(A32,ПТО!$A$39:$D$53,4,FALSE)</f>
        <v>#N/A</v>
      </c>
      <c r="J32" s="223"/>
      <c r="K32" s="108"/>
      <c r="L32" s="245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221" t="str">
        <f>ПТО!A44</f>
        <v>Обеспечение устранения аварий на внутридомовых инженерных системах в многоквартирном доме</v>
      </c>
      <c r="B33" s="221"/>
      <c r="C33" s="221"/>
      <c r="D33" s="221"/>
      <c r="E33" s="221"/>
      <c r="F33" s="222">
        <f>VLOOKUP(A33,ПТО!$A$39:$D$53,2,FALSE)</f>
        <v>82873.200000000012</v>
      </c>
      <c r="G33" s="222"/>
      <c r="H33" s="41" t="str">
        <f>VLOOKUP(A33,ПТО!$A$39:$D$53,3,FALSE)</f>
        <v>Круглосуточно</v>
      </c>
      <c r="I33" s="223">
        <f>VLOOKUP(A33,ПТО!$A$39:$D$53,4,FALSE)</f>
        <v>12</v>
      </c>
      <c r="J33" s="223"/>
      <c r="K33" s="108"/>
      <c r="L33" s="245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221" t="str">
        <f>ПТО!A45</f>
        <v>Работы по содержанию помещений, входящих в состав общего имущества в многоквартирном доме</v>
      </c>
      <c r="B34" s="221"/>
      <c r="C34" s="221"/>
      <c r="D34" s="221"/>
      <c r="E34" s="221"/>
      <c r="F34" s="222">
        <f>VLOOKUP(A34,ПТО!$A$39:$D$53,2,FALSE)</f>
        <v>414366</v>
      </c>
      <c r="G34" s="222"/>
      <c r="H34" s="41" t="str">
        <f>VLOOKUP(A34,ПТО!$A$39:$D$53,3,FALSE)</f>
        <v>В соответствии с графиком</v>
      </c>
      <c r="I34" s="223">
        <f>VLOOKUP(A34,ПТО!$A$39:$D$53,4,FALSE)</f>
        <v>12</v>
      </c>
      <c r="J34" s="223"/>
      <c r="K34" s="108"/>
      <c r="L34" s="245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221">
        <f>ПТО!A46</f>
        <v>0</v>
      </c>
      <c r="B35" s="221"/>
      <c r="C35" s="221"/>
      <c r="D35" s="221"/>
      <c r="E35" s="221"/>
      <c r="F35" s="222" t="e">
        <f>VLOOKUP(A35,ПТО!$A$39:$D$53,2,FALSE)</f>
        <v>#N/A</v>
      </c>
      <c r="G35" s="222"/>
      <c r="H35" s="41" t="e">
        <f>VLOOKUP(A35,ПТО!$A$39:$D$53,3,FALSE)</f>
        <v>#N/A</v>
      </c>
      <c r="I35" s="223" t="e">
        <f>VLOOKUP(A35,ПТО!$A$39:$D$53,4,FALSE)</f>
        <v>#N/A</v>
      </c>
      <c r="J35" s="223"/>
      <c r="K35" s="108"/>
      <c r="L35" s="245"/>
      <c r="M35" s="114"/>
      <c r="N35" s="108"/>
      <c r="O35" s="23">
        <f t="shared" si="1"/>
        <v>0</v>
      </c>
      <c r="R35" s="1" t="s">
        <v>71</v>
      </c>
    </row>
    <row r="36" spans="1:18" ht="51" customHeight="1" outlineLevel="1">
      <c r="A36" s="221" t="str">
        <f>ПТО!A47</f>
        <v>Работы по обеспечению пожарной безопасности</v>
      </c>
      <c r="B36" s="221"/>
      <c r="C36" s="221"/>
      <c r="D36" s="221"/>
      <c r="E36" s="221"/>
      <c r="F36" s="222">
        <f>VLOOKUP(A36,ПТО!$A$39:$D$53,2,FALSE)</f>
        <v>174033.72</v>
      </c>
      <c r="G36" s="222"/>
      <c r="H36" s="41" t="str">
        <f>VLOOKUP(A36,ПТО!$A$39:$D$53,3,FALSE)</f>
        <v>Ежемесячно</v>
      </c>
      <c r="I36" s="223">
        <f>VLOOKUP(A36,ПТО!$A$39:$D$53,4,FALSE)</f>
        <v>12</v>
      </c>
      <c r="J36" s="223"/>
      <c r="K36" s="108"/>
      <c r="L36" s="245"/>
      <c r="M36" s="114"/>
      <c r="N36" s="108"/>
      <c r="O36" s="23" t="str">
        <f t="shared" si="1"/>
        <v>Работы по обеспечению пожарной безопасности</v>
      </c>
      <c r="R36" s="1" t="s">
        <v>71</v>
      </c>
    </row>
    <row r="37" spans="1:18" ht="51" hidden="1" customHeight="1" outlineLevel="1">
      <c r="A37" s="221">
        <f>ПТО!A48</f>
        <v>0</v>
      </c>
      <c r="B37" s="221"/>
      <c r="C37" s="221"/>
      <c r="D37" s="221"/>
      <c r="E37" s="221"/>
      <c r="F37" s="222" t="e">
        <f>VLOOKUP(A37,ПТО!$A$39:$D$53,2,FALSE)</f>
        <v>#N/A</v>
      </c>
      <c r="G37" s="222"/>
      <c r="H37" s="41" t="e">
        <f>VLOOKUP(A37,ПТО!$A$39:$D$53,3,FALSE)</f>
        <v>#N/A</v>
      </c>
      <c r="I37" s="223" t="e">
        <f>VLOOKUP(A37,ПТО!$A$39:$D$53,4,FALSE)</f>
        <v>#N/A</v>
      </c>
      <c r="J37" s="223"/>
      <c r="K37" s="108"/>
      <c r="L37" s="245"/>
      <c r="M37" s="114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221">
        <f>ПТО!A49</f>
        <v>0</v>
      </c>
      <c r="B38" s="221"/>
      <c r="C38" s="221"/>
      <c r="D38" s="221"/>
      <c r="E38" s="221"/>
      <c r="F38" s="222" t="e">
        <f>VLOOKUP(A38,ПТО!$A$39:$D$53,2,FALSE)</f>
        <v>#N/A</v>
      </c>
      <c r="G38" s="222"/>
      <c r="H38" s="41" t="e">
        <f>VLOOKUP(A38,ПТО!$A$39:$D$53,3,FALSE)</f>
        <v>#N/A</v>
      </c>
      <c r="I38" s="223" t="e">
        <f>VLOOKUP(A38,ПТО!$A$39:$D$53,4,FALSE)</f>
        <v>#N/A</v>
      </c>
      <c r="J38" s="223"/>
      <c r="K38" s="108"/>
      <c r="L38" s="245"/>
      <c r="M38" s="114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221">
        <f>ПТО!A50</f>
        <v>0</v>
      </c>
      <c r="B39" s="221"/>
      <c r="C39" s="221"/>
      <c r="D39" s="221"/>
      <c r="E39" s="221"/>
      <c r="F39" s="222" t="e">
        <f>VLOOKUP(A39,ПТО!$A$39:$D$53,2,FALSE)</f>
        <v>#N/A</v>
      </c>
      <c r="G39" s="222"/>
      <c r="H39" s="41" t="e">
        <f>VLOOKUP(A39,ПТО!$A$39:$D$53,3,FALSE)</f>
        <v>#N/A</v>
      </c>
      <c r="I39" s="223" t="e">
        <f>VLOOKUP(A39,ПТО!$A$39:$D$53,4,FALSE)</f>
        <v>#N/A</v>
      </c>
      <c r="J39" s="223"/>
      <c r="K39" s="108"/>
      <c r="L39" s="245"/>
      <c r="M39" s="114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221">
        <f>ПТО!A51</f>
        <v>0</v>
      </c>
      <c r="B40" s="221"/>
      <c r="C40" s="221"/>
      <c r="D40" s="221"/>
      <c r="E40" s="221"/>
      <c r="F40" s="222" t="e">
        <f>VLOOKUP(A40,ПТО!$A$39:$D$53,2,FALSE)</f>
        <v>#N/A</v>
      </c>
      <c r="G40" s="222"/>
      <c r="H40" s="41" t="e">
        <f>VLOOKUP(A40,ПТО!$A$39:$D$53,3,FALSE)</f>
        <v>#N/A</v>
      </c>
      <c r="I40" s="223" t="e">
        <f>VLOOKUP(A40,ПТО!$A$39:$D$53,4,FALSE)</f>
        <v>#N/A</v>
      </c>
      <c r="J40" s="223"/>
      <c r="K40" s="108"/>
      <c r="L40" s="245"/>
      <c r="M40" s="114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221">
        <f>ПТО!A52</f>
        <v>0</v>
      </c>
      <c r="B41" s="221"/>
      <c r="C41" s="221"/>
      <c r="D41" s="221"/>
      <c r="E41" s="221"/>
      <c r="F41" s="222" t="e">
        <f>VLOOKUP(A41,ПТО!$A$39:$D$53,2,FALSE)</f>
        <v>#N/A</v>
      </c>
      <c r="G41" s="222"/>
      <c r="H41" s="41" t="e">
        <f>VLOOKUP(A41,ПТО!$A$39:$D$53,3,FALSE)</f>
        <v>#N/A</v>
      </c>
      <c r="I41" s="223" t="e">
        <f>VLOOKUP(A41,ПТО!$A$39:$D$53,4,FALSE)</f>
        <v>#N/A</v>
      </c>
      <c r="J41" s="223"/>
      <c r="K41" s="108"/>
      <c r="L41" s="245"/>
      <c r="M41" s="114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221">
        <f>ПТО!A53</f>
        <v>0</v>
      </c>
      <c r="B42" s="221"/>
      <c r="C42" s="221"/>
      <c r="D42" s="221"/>
      <c r="E42" s="221"/>
      <c r="F42" s="222" t="e">
        <f>VLOOKUP(A42,ПТО!$A$39:$D$53,2,FALSE)</f>
        <v>#N/A</v>
      </c>
      <c r="G42" s="222"/>
      <c r="H42" s="41" t="e">
        <f>VLOOKUP(A42,ПТО!$A$39:$D$53,3,FALSE)</f>
        <v>#N/A</v>
      </c>
      <c r="I42" s="223" t="e">
        <f>VLOOKUP(A42,ПТО!$A$39:$D$53,4,FALSE)</f>
        <v>#N/A</v>
      </c>
      <c r="J42" s="223"/>
      <c r="K42" s="108"/>
      <c r="L42" s="245"/>
      <c r="M42" s="114"/>
      <c r="N42" s="108"/>
      <c r="O42" s="23">
        <f t="shared" si="1"/>
        <v>0</v>
      </c>
      <c r="R42" s="1" t="s">
        <v>71</v>
      </c>
    </row>
    <row r="43" spans="1:18" ht="51" customHeight="1" outlineLevel="1">
      <c r="A43" s="221" t="str">
        <f>ПТО!A2</f>
        <v>Техническое обслуживание охранной сигнализации.</v>
      </c>
      <c r="B43" s="221"/>
      <c r="C43" s="221"/>
      <c r="D43" s="221"/>
      <c r="E43" s="221"/>
      <c r="F43" s="222">
        <f>VLOOKUP(A43,ПТО!$A$2:$D$31,4,FALSE)</f>
        <v>24480</v>
      </c>
      <c r="G43" s="222"/>
      <c r="H43" s="19" t="str">
        <f>VLOOKUP(A43,ПТО!$A$2:$D$31,2,FALSE)</f>
        <v>ежемесячно</v>
      </c>
      <c r="I43" s="223">
        <f>VLOOKUP(A43,ПТО!$A$2:$D$31,3,FALSE)</f>
        <v>12</v>
      </c>
      <c r="J43" s="223"/>
      <c r="K43" s="108"/>
      <c r="L43" s="245"/>
      <c r="M43" s="114"/>
      <c r="N43" s="108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221" t="str">
        <f>ПТО!A3</f>
        <v>Техническое обслуживание системы видеонаблюдения.</v>
      </c>
      <c r="B44" s="221"/>
      <c r="C44" s="221"/>
      <c r="D44" s="221"/>
      <c r="E44" s="221"/>
      <c r="F44" s="222">
        <f>VLOOKUP(A44,ПТО!$A$2:$D$31,4,FALSE)</f>
        <v>58140</v>
      </c>
      <c r="G44" s="222"/>
      <c r="H44" s="25" t="str">
        <f>VLOOKUP(A44,ПТО!$A$2:$D$31,2,FALSE)</f>
        <v>ежемесячно</v>
      </c>
      <c r="I44" s="223">
        <f>VLOOKUP(A44,ПТО!$A$2:$D$31,3,FALSE)</f>
        <v>9</v>
      </c>
      <c r="J44" s="223"/>
      <c r="K44" s="108"/>
      <c r="L44" s="245"/>
      <c r="M44" s="114"/>
      <c r="N44" s="108"/>
      <c r="O44" s="23" t="str">
        <f t="shared" si="1"/>
        <v>Техническое обслуживание системы видеонаблюдения.</v>
      </c>
      <c r="R44" s="22" t="s">
        <v>72</v>
      </c>
    </row>
    <row r="45" spans="1:18" ht="51" customHeight="1" outlineLevel="1">
      <c r="A45" s="221" t="str">
        <f>ПТО!A4</f>
        <v>Механизированная уборка и вывоз снега с придомовой территории.</v>
      </c>
      <c r="B45" s="221"/>
      <c r="C45" s="221"/>
      <c r="D45" s="221"/>
      <c r="E45" s="221"/>
      <c r="F45" s="222">
        <f>VLOOKUP(A45,ПТО!$A$2:$D$31,4,FALSE)</f>
        <v>72428</v>
      </c>
      <c r="G45" s="222"/>
      <c r="H45" s="25" t="str">
        <f>VLOOKUP(A45,ПТО!$A$2:$D$31,2,FALSE)</f>
        <v>разово</v>
      </c>
      <c r="I45" s="223">
        <f>VLOOKUP(A45,ПТО!$A$2:$D$31,3,FALSE)</f>
        <v>1</v>
      </c>
      <c r="J45" s="223"/>
      <c r="K45" s="108"/>
      <c r="L45" s="245"/>
      <c r="M45" s="114"/>
      <c r="N45" s="108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221" t="str">
        <f>ПТО!A5</f>
        <v>Приобретение и замена светильников в подъезде (2 шт.).</v>
      </c>
      <c r="B46" s="221"/>
      <c r="C46" s="221"/>
      <c r="D46" s="221"/>
      <c r="E46" s="221"/>
      <c r="F46" s="222">
        <f>VLOOKUP(A46,ПТО!$A$2:$D$31,4,FALSE)</f>
        <v>3000</v>
      </c>
      <c r="G46" s="222"/>
      <c r="H46" s="25" t="str">
        <f>VLOOKUP(A46,ПТО!$A$2:$D$31,2,FALSE)</f>
        <v>разово</v>
      </c>
      <c r="I46" s="223">
        <f>VLOOKUP(A46,ПТО!$A$2:$D$31,3,FALSE)</f>
        <v>1</v>
      </c>
      <c r="J46" s="223"/>
      <c r="K46" s="108"/>
      <c r="L46" s="245"/>
      <c r="M46" s="114"/>
      <c r="N46" s="108"/>
      <c r="O46" s="23" t="str">
        <f t="shared" si="1"/>
        <v>Приобретение и замена светильников в подъезде (2 шт.).</v>
      </c>
      <c r="R46" s="22" t="s">
        <v>72</v>
      </c>
    </row>
    <row r="47" spans="1:18" ht="51" customHeight="1" outlineLevel="1">
      <c r="A47" s="221" t="str">
        <f>ПТО!A6</f>
        <v>Организация и проведение Масленицы.</v>
      </c>
      <c r="B47" s="221"/>
      <c r="C47" s="221"/>
      <c r="D47" s="221"/>
      <c r="E47" s="221"/>
      <c r="F47" s="222">
        <f>VLOOKUP(A47,ПТО!$A$2:$D$31,4,FALSE)</f>
        <v>3286</v>
      </c>
      <c r="G47" s="222"/>
      <c r="H47" s="25" t="str">
        <f>VLOOKUP(A47,ПТО!$A$2:$D$31,2,FALSE)</f>
        <v>разово</v>
      </c>
      <c r="I47" s="223">
        <f>VLOOKUP(A47,ПТО!$A$2:$D$31,3,FALSE)</f>
        <v>1</v>
      </c>
      <c r="J47" s="223"/>
      <c r="K47" s="108"/>
      <c r="L47" s="245"/>
      <c r="M47" s="114"/>
      <c r="N47" s="108"/>
      <c r="O47" s="23" t="str">
        <f t="shared" si="1"/>
        <v>Организация и проведение Масленицы.</v>
      </c>
      <c r="R47" s="22" t="s">
        <v>72</v>
      </c>
    </row>
    <row r="48" spans="1:18" ht="51" customHeight="1" outlineLevel="1">
      <c r="A48" s="221" t="str">
        <f>ПТО!A7</f>
        <v>Замена контактора и кнопочного модуля "открывания дверей" в лифте 400 кг (2 подъезд).</v>
      </c>
      <c r="B48" s="221"/>
      <c r="C48" s="221"/>
      <c r="D48" s="221"/>
      <c r="E48" s="221"/>
      <c r="F48" s="222">
        <f>VLOOKUP(A48,ПТО!$A$2:$D$31,4,FALSE)</f>
        <v>3109</v>
      </c>
      <c r="G48" s="222"/>
      <c r="H48" s="25" t="str">
        <f>VLOOKUP(A48,ПТО!$A$2:$D$31,2,FALSE)</f>
        <v>разово</v>
      </c>
      <c r="I48" s="223">
        <f>VLOOKUP(A48,ПТО!$A$2:$D$31,3,FALSE)</f>
        <v>1</v>
      </c>
      <c r="J48" s="223"/>
      <c r="K48" s="108"/>
      <c r="L48" s="245"/>
      <c r="M48" s="114"/>
      <c r="N48" s="108"/>
      <c r="O48" s="23" t="str">
        <f t="shared" si="1"/>
        <v>Замена контактора и кнопочного модуля "открывания дверей" в лифте 400 кг (2 подъезд).</v>
      </c>
      <c r="R48" s="22" t="s">
        <v>72</v>
      </c>
    </row>
    <row r="49" spans="1:18" ht="51" customHeight="1" outlineLevel="1">
      <c r="A49" s="221" t="str">
        <f>ПТО!A8</f>
        <v>Замена светильников (над подъездом №2 лестница).</v>
      </c>
      <c r="B49" s="221"/>
      <c r="C49" s="221"/>
      <c r="D49" s="221"/>
      <c r="E49" s="221"/>
      <c r="F49" s="222">
        <f>VLOOKUP(A49,ПТО!$A$2:$D$31,4,FALSE)</f>
        <v>3200</v>
      </c>
      <c r="G49" s="222"/>
      <c r="H49" s="25" t="str">
        <f>VLOOKUP(A49,ПТО!$A$2:$D$31,2,FALSE)</f>
        <v>разово</v>
      </c>
      <c r="I49" s="223">
        <f>VLOOKUP(A49,ПТО!$A$2:$D$31,3,FALSE)</f>
        <v>1</v>
      </c>
      <c r="J49" s="223"/>
      <c r="K49" s="108"/>
      <c r="L49" s="245"/>
      <c r="M49" s="114"/>
      <c r="N49" s="108"/>
      <c r="O49" s="23" t="str">
        <f t="shared" si="1"/>
        <v>Замена светильников (над подъездом №2 лестница).</v>
      </c>
      <c r="R49" s="22" t="s">
        <v>72</v>
      </c>
    </row>
    <row r="50" spans="1:18" ht="51" customHeight="1" outlineLevel="1">
      <c r="A50" s="221" t="str">
        <f>ПТО!A9</f>
        <v>Дополнительная уборка мест общего пользования.</v>
      </c>
      <c r="B50" s="221"/>
      <c r="C50" s="221"/>
      <c r="D50" s="221"/>
      <c r="E50" s="221"/>
      <c r="F50" s="222">
        <f>VLOOKUP(A50,ПТО!$A$2:$D$31,4,FALSE)</f>
        <v>1800</v>
      </c>
      <c r="G50" s="222"/>
      <c r="H50" s="25" t="str">
        <f>VLOOKUP(A50,ПТО!$A$2:$D$31,2,FALSE)</f>
        <v>разово</v>
      </c>
      <c r="I50" s="223">
        <f>VLOOKUP(A50,ПТО!$A$2:$D$31,3,FALSE)</f>
        <v>1</v>
      </c>
      <c r="J50" s="223"/>
      <c r="K50" s="108"/>
      <c r="L50" s="245"/>
      <c r="M50" s="114"/>
      <c r="N50" s="108"/>
      <c r="O50" s="23" t="str">
        <f t="shared" si="1"/>
        <v>Дополнительная уборка мест общего пользования.</v>
      </c>
      <c r="R50" s="22" t="s">
        <v>72</v>
      </c>
    </row>
    <row r="51" spans="1:18" ht="51" customHeight="1" outlineLevel="1">
      <c r="A51" s="221" t="str">
        <f>ПТО!A10</f>
        <v>Приобретение и замена светильников (2 подъезд, возле кв. 228).</v>
      </c>
      <c r="B51" s="221"/>
      <c r="C51" s="221"/>
      <c r="D51" s="221"/>
      <c r="E51" s="221"/>
      <c r="F51" s="222">
        <f>VLOOKUP(A51,ПТО!$A$2:$D$31,4,FALSE)</f>
        <v>1600</v>
      </c>
      <c r="G51" s="222"/>
      <c r="H51" s="25" t="str">
        <f>VLOOKUP(A51,ПТО!$A$2:$D$31,2,FALSE)</f>
        <v>разово</v>
      </c>
      <c r="I51" s="223">
        <f>VLOOKUP(A51,ПТО!$A$2:$D$31,3,FALSE)</f>
        <v>1</v>
      </c>
      <c r="J51" s="223"/>
      <c r="K51" s="108"/>
      <c r="L51" s="245"/>
      <c r="M51" s="114"/>
      <c r="N51" s="108"/>
      <c r="O51" s="23" t="str">
        <f t="shared" si="1"/>
        <v>Приобретение и замена светильников (2 подъезд, возле кв. 228).</v>
      </c>
      <c r="R51" s="22" t="s">
        <v>72</v>
      </c>
    </row>
    <row r="52" spans="1:18" ht="51" customHeight="1" outlineLevel="1">
      <c r="A52" s="221" t="str">
        <f>ПТО!A11</f>
        <v>Благоустройство придомовой территории (приобретение рассады).</v>
      </c>
      <c r="B52" s="221"/>
      <c r="C52" s="221"/>
      <c r="D52" s="221"/>
      <c r="E52" s="221"/>
      <c r="F52" s="222">
        <f>VLOOKUP(A52,ПТО!$A$2:$D$31,4,FALSE)</f>
        <v>10100</v>
      </c>
      <c r="G52" s="222"/>
      <c r="H52" s="25" t="str">
        <f>VLOOKUP(A52,ПТО!$A$2:$D$31,2,FALSE)</f>
        <v>разово</v>
      </c>
      <c r="I52" s="223">
        <f>VLOOKUP(A52,ПТО!$A$2:$D$31,3,FALSE)</f>
        <v>1</v>
      </c>
      <c r="J52" s="223"/>
      <c r="K52" s="108"/>
      <c r="L52" s="245"/>
      <c r="M52" s="114"/>
      <c r="N52" s="108"/>
      <c r="O52" s="23" t="str">
        <f t="shared" si="1"/>
        <v>Благоустройство придомовой территории (приобретение рассады).</v>
      </c>
      <c r="R52" s="22" t="s">
        <v>72</v>
      </c>
    </row>
    <row r="53" spans="1:18" ht="51" customHeight="1" outlineLevel="1">
      <c r="A53" s="221" t="str">
        <f>ПТО!A12</f>
        <v>Благоустройство придомовой территории (завоз песка).</v>
      </c>
      <c r="B53" s="221"/>
      <c r="C53" s="221"/>
      <c r="D53" s="221"/>
      <c r="E53" s="221"/>
      <c r="F53" s="222">
        <f>VLOOKUP(A53,ПТО!$A$2:$D$31,4,FALSE)</f>
        <v>929</v>
      </c>
      <c r="G53" s="222"/>
      <c r="H53" s="25" t="str">
        <f>VLOOKUP(A53,ПТО!$A$2:$D$31,2,FALSE)</f>
        <v>разово</v>
      </c>
      <c r="I53" s="223">
        <f>VLOOKUP(A53,ПТО!$A$2:$D$31,3,FALSE)</f>
        <v>1</v>
      </c>
      <c r="J53" s="223"/>
      <c r="K53" s="108"/>
      <c r="L53" s="245"/>
      <c r="M53" s="114"/>
      <c r="N53" s="108"/>
      <c r="O53" s="23" t="str">
        <f t="shared" si="1"/>
        <v>Благоустройство придомовой территории (завоз песка).</v>
      </c>
      <c r="R53" s="22" t="s">
        <v>72</v>
      </c>
    </row>
    <row r="54" spans="1:18" ht="51" customHeight="1" outlineLevel="1">
      <c r="A54" s="221" t="str">
        <f>ПТО!A13</f>
        <v>Благоустройство придомовой территории (разметка парковочных мест).</v>
      </c>
      <c r="B54" s="221"/>
      <c r="C54" s="221"/>
      <c r="D54" s="221"/>
      <c r="E54" s="221"/>
      <c r="F54" s="222">
        <f>VLOOKUP(A54,ПТО!$A$2:$D$31,4,FALSE)</f>
        <v>4745</v>
      </c>
      <c r="G54" s="222"/>
      <c r="H54" s="25" t="str">
        <f>VLOOKUP(A54,ПТО!$A$2:$D$31,2,FALSE)</f>
        <v>разово</v>
      </c>
      <c r="I54" s="223">
        <f>VLOOKUP(A54,ПТО!$A$2:$D$31,3,FALSE)</f>
        <v>1</v>
      </c>
      <c r="J54" s="223"/>
      <c r="K54" s="108"/>
      <c r="L54" s="245"/>
      <c r="M54" s="114"/>
      <c r="N54" s="108"/>
      <c r="O54" s="23" t="str">
        <f t="shared" si="1"/>
        <v>Благоустройство придомовой территории (разметка парковочных мест).</v>
      </c>
      <c r="R54" s="22" t="s">
        <v>72</v>
      </c>
    </row>
    <row r="55" spans="1:18" ht="51" customHeight="1" outlineLevel="1">
      <c r="A55" s="221" t="str">
        <f>ПТО!A14</f>
        <v>Приобретение кабеля (витая пара) камеры видеонаблюдения для замены в шахте лифта (п.2).</v>
      </c>
      <c r="B55" s="221"/>
      <c r="C55" s="221"/>
      <c r="D55" s="221"/>
      <c r="E55" s="221"/>
      <c r="F55" s="222">
        <f>VLOOKUP(A55,ПТО!$A$2:$D$31,4,FALSE)</f>
        <v>2800</v>
      </c>
      <c r="G55" s="222"/>
      <c r="H55" s="25" t="str">
        <f>VLOOKUP(A55,ПТО!$A$2:$D$31,2,FALSE)</f>
        <v>разово</v>
      </c>
      <c r="I55" s="223">
        <f>VLOOKUP(A55,ПТО!$A$2:$D$31,3,FALSE)</f>
        <v>1</v>
      </c>
      <c r="J55" s="223"/>
      <c r="K55" s="108"/>
      <c r="L55" s="245"/>
      <c r="M55" s="114"/>
      <c r="N55" s="108"/>
      <c r="O55" s="23" t="str">
        <f t="shared" si="1"/>
        <v>Приобретение кабеля (витая пара) камеры видеонаблюдения для замены в шахте лифта (п.2).</v>
      </c>
      <c r="R55" s="22" t="s">
        <v>72</v>
      </c>
    </row>
    <row r="56" spans="1:18" ht="51" customHeight="1" outlineLevel="1">
      <c r="A56" s="221" t="str">
        <f>ПТО!A15</f>
        <v>Замена светильника в подъезде ( п.2, 5 этаж).</v>
      </c>
      <c r="B56" s="221"/>
      <c r="C56" s="221"/>
      <c r="D56" s="221"/>
      <c r="E56" s="221"/>
      <c r="F56" s="222">
        <f>VLOOKUP(A56,ПТО!$A$2:$D$31,4,FALSE)</f>
        <v>1300</v>
      </c>
      <c r="G56" s="222"/>
      <c r="H56" s="25" t="str">
        <f>VLOOKUP(A56,ПТО!$A$2:$D$31,2,FALSE)</f>
        <v>разово</v>
      </c>
      <c r="I56" s="223">
        <f>VLOOKUP(A56,ПТО!$A$2:$D$31,3,FALSE)</f>
        <v>1</v>
      </c>
      <c r="J56" s="223"/>
      <c r="K56" s="108"/>
      <c r="L56" s="245"/>
      <c r="M56" s="114"/>
      <c r="N56" s="108"/>
      <c r="O56" s="23" t="str">
        <f t="shared" si="1"/>
        <v>Замена светильника в подъезде ( п.2, 5 этаж).</v>
      </c>
      <c r="R56" s="22" t="s">
        <v>72</v>
      </c>
    </row>
    <row r="57" spans="1:18" ht="51" customHeight="1" outlineLevel="1">
      <c r="A57" s="221" t="str">
        <f>ПТО!A16</f>
        <v>Сварочные работы на системе ГВС в подвале подъезда №2.</v>
      </c>
      <c r="B57" s="221"/>
      <c r="C57" s="221"/>
      <c r="D57" s="221"/>
      <c r="E57" s="221"/>
      <c r="F57" s="222">
        <f>VLOOKUP(A57,ПТО!$A$2:$D$31,4,FALSE)</f>
        <v>3600</v>
      </c>
      <c r="G57" s="222"/>
      <c r="H57" s="25" t="str">
        <f>VLOOKUP(A57,ПТО!$A$2:$D$31,2,FALSE)</f>
        <v>разово</v>
      </c>
      <c r="I57" s="223">
        <f>VLOOKUP(A57,ПТО!$A$2:$D$31,3,FALSE)</f>
        <v>1</v>
      </c>
      <c r="J57" s="223"/>
      <c r="K57" s="108"/>
      <c r="L57" s="245"/>
      <c r="M57" s="114"/>
      <c r="N57" s="108"/>
      <c r="O57" s="23" t="str">
        <f t="shared" si="1"/>
        <v>Сварочные работы на системе ГВС в подвале подъезда №2.</v>
      </c>
      <c r="R57" s="22" t="s">
        <v>72</v>
      </c>
    </row>
    <row r="58" spans="1:18" ht="51" customHeight="1" outlineLevel="1">
      <c r="A58" s="221" t="str">
        <f>ПТО!A17</f>
        <v>Приобретение и замена манометров в ИТП (3 шт.).</v>
      </c>
      <c r="B58" s="221"/>
      <c r="C58" s="221"/>
      <c r="D58" s="221"/>
      <c r="E58" s="221"/>
      <c r="F58" s="222">
        <f>VLOOKUP(A58,ПТО!$A$2:$D$31,4,FALSE)</f>
        <v>1311</v>
      </c>
      <c r="G58" s="222"/>
      <c r="H58" s="25" t="str">
        <f>VLOOKUP(A58,ПТО!$A$2:$D$31,2,FALSE)</f>
        <v>разово</v>
      </c>
      <c r="I58" s="223">
        <f>VLOOKUP(A58,ПТО!$A$2:$D$31,3,FALSE)</f>
        <v>1</v>
      </c>
      <c r="J58" s="223"/>
      <c r="K58" s="108"/>
      <c r="L58" s="245"/>
      <c r="M58" s="114"/>
      <c r="N58" s="108"/>
      <c r="O58" s="23" t="str">
        <f t="shared" si="1"/>
        <v>Приобретение и замена манометров в ИТП (3 шт.).</v>
      </c>
      <c r="R58" s="22" t="s">
        <v>72</v>
      </c>
    </row>
    <row r="59" spans="1:18" ht="51" customHeight="1" outlineLevel="1">
      <c r="A59" s="221" t="str">
        <f>ПТО!A18</f>
        <v>Приобретение шланга для полива газона (50м.).</v>
      </c>
      <c r="B59" s="221"/>
      <c r="C59" s="221"/>
      <c r="D59" s="221"/>
      <c r="E59" s="221"/>
      <c r="F59" s="222">
        <f>VLOOKUP(A59,ПТО!$A$2:$D$31,4,FALSE)</f>
        <v>1745</v>
      </c>
      <c r="G59" s="222"/>
      <c r="H59" s="25" t="str">
        <f>VLOOKUP(A59,ПТО!$A$2:$D$31,2,FALSE)</f>
        <v>разово</v>
      </c>
      <c r="I59" s="223">
        <f>VLOOKUP(A59,ПТО!$A$2:$D$31,3,FALSE)</f>
        <v>1</v>
      </c>
      <c r="J59" s="223"/>
      <c r="K59" s="108"/>
      <c r="L59" s="245"/>
      <c r="M59" s="114"/>
      <c r="N59" s="108"/>
      <c r="O59" s="23" t="str">
        <f t="shared" si="1"/>
        <v>Приобретение шланга для полива газона (50м.).</v>
      </c>
      <c r="R59" s="22" t="s">
        <v>72</v>
      </c>
    </row>
    <row r="60" spans="1:18" ht="51" customHeight="1" outlineLevel="1">
      <c r="A60" s="221" t="str">
        <f>ПТО!A19</f>
        <v>Замена светильников (над подъездом №2).</v>
      </c>
      <c r="B60" s="221"/>
      <c r="C60" s="221"/>
      <c r="D60" s="221"/>
      <c r="E60" s="221"/>
      <c r="F60" s="222">
        <f>VLOOKUP(A60,ПТО!$A$2:$D$31,4,FALSE)</f>
        <v>1500</v>
      </c>
      <c r="G60" s="222"/>
      <c r="H60" s="25" t="str">
        <f>VLOOKUP(A60,ПТО!$A$2:$D$31,2,FALSE)</f>
        <v>разово</v>
      </c>
      <c r="I60" s="223">
        <f>VLOOKUP(A60,ПТО!$A$2:$D$31,3,FALSE)</f>
        <v>1</v>
      </c>
      <c r="J60" s="223"/>
      <c r="K60" s="108"/>
      <c r="L60" s="245"/>
      <c r="M60" s="114"/>
      <c r="N60" s="108"/>
      <c r="O60" s="23" t="str">
        <f t="shared" si="1"/>
        <v>Замена светильников (над подъездом №2).</v>
      </c>
      <c r="R60" s="22" t="s">
        <v>72</v>
      </c>
    </row>
    <row r="61" spans="1:18" ht="51" customHeight="1" outlineLevel="1">
      <c r="A61" s="221" t="str">
        <f>ПТО!A20</f>
        <v>Приобретение и замена светильников в коридоре и на лестнице (1 подъезд, 3 этаж, 2 шт.).</v>
      </c>
      <c r="B61" s="221"/>
      <c r="C61" s="221"/>
      <c r="D61" s="221"/>
      <c r="E61" s="221"/>
      <c r="F61" s="222">
        <f>VLOOKUP(A61,ПТО!$A$2:$D$31,4,FALSE)</f>
        <v>3400</v>
      </c>
      <c r="G61" s="222"/>
      <c r="H61" s="25" t="str">
        <f>VLOOKUP(A61,ПТО!$A$2:$D$31,2,FALSE)</f>
        <v>разово</v>
      </c>
      <c r="I61" s="223">
        <f>VLOOKUP(A61,ПТО!$A$2:$D$31,3,FALSE)</f>
        <v>1</v>
      </c>
      <c r="J61" s="223"/>
      <c r="K61" s="108"/>
      <c r="L61" s="245"/>
      <c r="M61" s="114"/>
      <c r="N61" s="108"/>
      <c r="O61" s="23" t="str">
        <f t="shared" si="1"/>
        <v>Приобретение и замена светильников в коридоре и на лестнице (1 подъезд, 3 этаж, 2 шт.).</v>
      </c>
      <c r="R61" s="22" t="s">
        <v>72</v>
      </c>
    </row>
    <row r="62" spans="1:18" ht="51" customHeight="1" outlineLevel="1">
      <c r="A62" s="221" t="str">
        <f>ПТО!A21</f>
        <v>Сварочные работы на системе ГВС (кв. №317).</v>
      </c>
      <c r="B62" s="221"/>
      <c r="C62" s="221"/>
      <c r="D62" s="221"/>
      <c r="E62" s="221"/>
      <c r="F62" s="222">
        <f>VLOOKUP(A62,ПТО!$A$2:$D$31,4,FALSE)</f>
        <v>3600</v>
      </c>
      <c r="G62" s="222"/>
      <c r="H62" s="25" t="str">
        <f>VLOOKUP(A62,ПТО!$A$2:$D$31,2,FALSE)</f>
        <v>разово</v>
      </c>
      <c r="I62" s="223">
        <f>VLOOKUP(A62,ПТО!$A$2:$D$31,3,FALSE)</f>
        <v>1</v>
      </c>
      <c r="J62" s="223"/>
      <c r="K62" s="108"/>
      <c r="L62" s="245"/>
      <c r="M62" s="114"/>
      <c r="N62" s="108"/>
      <c r="O62" s="23" t="str">
        <f t="shared" si="1"/>
        <v>Сварочные работы на системе ГВС (кв. №317).</v>
      </c>
      <c r="R62" s="22" t="s">
        <v>72</v>
      </c>
    </row>
    <row r="63" spans="1:18" ht="51" customHeight="1" outlineLevel="1">
      <c r="A63" s="221" t="str">
        <f>ПТО!A22</f>
        <v>Сварочные работы на системе отопления (кв. №330).</v>
      </c>
      <c r="B63" s="221"/>
      <c r="C63" s="221"/>
      <c r="D63" s="221"/>
      <c r="E63" s="221"/>
      <c r="F63" s="222">
        <f>VLOOKUP(A63,ПТО!$A$2:$D$31,4,FALSE)</f>
        <v>4800</v>
      </c>
      <c r="G63" s="222"/>
      <c r="H63" s="25" t="str">
        <f>VLOOKUP(A63,ПТО!$A$2:$D$31,2,FALSE)</f>
        <v>разово</v>
      </c>
      <c r="I63" s="223">
        <f>VLOOKUP(A63,ПТО!$A$2:$D$31,3,FALSE)</f>
        <v>1</v>
      </c>
      <c r="J63" s="223"/>
      <c r="K63" s="108"/>
      <c r="L63" s="245"/>
      <c r="M63" s="114"/>
      <c r="N63" s="108"/>
      <c r="O63" s="23" t="str">
        <f t="shared" si="1"/>
        <v>Сварочные работы на системе отопления (кв. №330).</v>
      </c>
      <c r="R63" s="22" t="s">
        <v>72</v>
      </c>
    </row>
    <row r="64" spans="1:18" ht="51" customHeight="1" outlineLevel="1">
      <c r="A64" s="221" t="str">
        <f>ПТО!A23</f>
        <v>Сварочные работы на системе отопления (кв. №395).</v>
      </c>
      <c r="B64" s="221"/>
      <c r="C64" s="221"/>
      <c r="D64" s="221"/>
      <c r="E64" s="221"/>
      <c r="F64" s="222">
        <f>VLOOKUP(A64,ПТО!$A$2:$D$31,4,FALSE)</f>
        <v>5400</v>
      </c>
      <c r="G64" s="222"/>
      <c r="H64" s="25" t="str">
        <f>VLOOKUP(A64,ПТО!$A$2:$D$31,2,FALSE)</f>
        <v>разово</v>
      </c>
      <c r="I64" s="223">
        <f>VLOOKUP(A64,ПТО!$A$2:$D$31,3,FALSE)</f>
        <v>1</v>
      </c>
      <c r="J64" s="223"/>
      <c r="K64" s="108"/>
      <c r="L64" s="245"/>
      <c r="M64" s="114"/>
      <c r="N64" s="108"/>
      <c r="O64" s="23" t="str">
        <f t="shared" si="1"/>
        <v>Сварочные работы на системе отопления (кв. №395).</v>
      </c>
      <c r="R64" s="22" t="s">
        <v>72</v>
      </c>
    </row>
    <row r="65" spans="1:16384" ht="51" customHeight="1" outlineLevel="1">
      <c r="A65" s="221" t="str">
        <f>ПТО!A24</f>
        <v>Сварочные работы на системе отопления (кв. №377).</v>
      </c>
      <c r="B65" s="221"/>
      <c r="C65" s="221"/>
      <c r="D65" s="221"/>
      <c r="E65" s="221"/>
      <c r="F65" s="222">
        <f>VLOOKUP(A65,ПТО!$A$2:$D$31,4,FALSE)</f>
        <v>5400</v>
      </c>
      <c r="G65" s="222"/>
      <c r="H65" s="25" t="str">
        <f>VLOOKUP(A65,ПТО!$A$2:$D$31,2,FALSE)</f>
        <v>разово</v>
      </c>
      <c r="I65" s="223">
        <f>VLOOKUP(A65,ПТО!$A$2:$D$31,3,FALSE)</f>
        <v>1</v>
      </c>
      <c r="J65" s="223"/>
      <c r="K65" s="108"/>
      <c r="L65" s="245"/>
      <c r="M65" s="114"/>
      <c r="N65" s="108"/>
      <c r="O65" s="23" t="str">
        <f t="shared" si="1"/>
        <v>Сварочные работы на системе отопления (кв. №377).</v>
      </c>
      <c r="R65" s="22" t="s">
        <v>72</v>
      </c>
    </row>
    <row r="66" spans="1:16384" ht="51" customHeight="1" outlineLevel="1">
      <c r="A66" s="221" t="str">
        <f>ПТО!A25</f>
        <v>Замене компенсаторов на стояке отопления (кв. 377, 3 шт.).</v>
      </c>
      <c r="B66" s="221"/>
      <c r="C66" s="221"/>
      <c r="D66" s="221"/>
      <c r="E66" s="221"/>
      <c r="F66" s="222">
        <f>VLOOKUP(A66,ПТО!$A$2:$D$31,4,FALSE)</f>
        <v>12000</v>
      </c>
      <c r="G66" s="222"/>
      <c r="H66" s="25" t="str">
        <f>VLOOKUP(A66,ПТО!$A$2:$D$31,2,FALSE)</f>
        <v>разово</v>
      </c>
      <c r="I66" s="223">
        <f>VLOOKUP(A66,ПТО!$A$2:$D$31,3,FALSE)</f>
        <v>1</v>
      </c>
      <c r="J66" s="223"/>
      <c r="K66" s="108"/>
      <c r="L66" s="245"/>
      <c r="M66" s="114"/>
      <c r="N66" s="108"/>
      <c r="O66" s="23" t="str">
        <f t="shared" si="1"/>
        <v>Замене компенсаторов на стояке отопления (кв. 377, 3 шт.).</v>
      </c>
      <c r="R66" s="22" t="s">
        <v>72</v>
      </c>
    </row>
    <row r="67" spans="1:16384" ht="51" customHeight="1" outlineLevel="1">
      <c r="A67" s="221" t="str">
        <f>ПТО!A26</f>
        <v>Замена светильника в коридоре (возле кв.360)</v>
      </c>
      <c r="B67" s="221"/>
      <c r="C67" s="221"/>
      <c r="D67" s="221"/>
      <c r="E67" s="221"/>
      <c r="F67" s="222">
        <f>VLOOKUP(A67,ПТО!$A$2:$D$31,4,FALSE)</f>
        <v>1400</v>
      </c>
      <c r="G67" s="222"/>
      <c r="H67" s="25" t="str">
        <f>VLOOKUP(A67,ПТО!$A$2:$D$31,2,FALSE)</f>
        <v>разово</v>
      </c>
      <c r="I67" s="223">
        <f>VLOOKUP(A67,ПТО!$A$2:$D$31,3,FALSE)</f>
        <v>1</v>
      </c>
      <c r="J67" s="223"/>
      <c r="K67" s="108"/>
      <c r="L67" s="245"/>
      <c r="M67" s="114"/>
      <c r="N67" s="108"/>
      <c r="O67" s="23" t="str">
        <f t="shared" si="1"/>
        <v>Замена светильника в коридоре (возле кв.360)</v>
      </c>
      <c r="R67" s="22" t="s">
        <v>72</v>
      </c>
    </row>
    <row r="68" spans="1:16384" ht="51" customHeight="1" outlineLevel="1">
      <c r="A68" s="221" t="str">
        <f>ПТО!A27</f>
        <v>Приобретение и замена почтовых ящиков.</v>
      </c>
      <c r="B68" s="221"/>
      <c r="C68" s="221"/>
      <c r="D68" s="221"/>
      <c r="E68" s="221"/>
      <c r="F68" s="222">
        <f>VLOOKUP(A68,ПТО!$A$2:$D$31,4,FALSE)</f>
        <v>354304</v>
      </c>
      <c r="G68" s="222"/>
      <c r="H68" s="25" t="str">
        <f>VLOOKUP(A68,ПТО!$A$2:$D$31,2,FALSE)</f>
        <v>разово</v>
      </c>
      <c r="I68" s="223">
        <f>VLOOKUP(A68,ПТО!$A$2:$D$31,3,FALSE)</f>
        <v>1</v>
      </c>
      <c r="J68" s="223"/>
      <c r="K68" s="108"/>
      <c r="L68" s="245"/>
      <c r="M68" s="114"/>
      <c r="N68" s="108"/>
      <c r="O68" s="23" t="str">
        <f t="shared" si="1"/>
        <v>Приобретение и замена почтовых ящиков.</v>
      </c>
      <c r="R68" s="22" t="s">
        <v>72</v>
      </c>
    </row>
    <row r="69" spans="1:16384" ht="51" customHeight="1" outlineLevel="1">
      <c r="A69" s="221" t="str">
        <f>ПТО!A28</f>
        <v>Доставка почтовых ящиков.</v>
      </c>
      <c r="B69" s="221"/>
      <c r="C69" s="221"/>
      <c r="D69" s="221"/>
      <c r="E69" s="221"/>
      <c r="F69" s="222">
        <f>VLOOKUP(A69,ПТО!$A$2:$D$31,4,FALSE)</f>
        <v>7400</v>
      </c>
      <c r="G69" s="222"/>
      <c r="H69" s="25" t="str">
        <f>VLOOKUP(A69,ПТО!$A$2:$D$31,2,FALSE)</f>
        <v>разово</v>
      </c>
      <c r="I69" s="223">
        <f>VLOOKUP(A69,ПТО!$A$2:$D$31,3,FALSE)</f>
        <v>1</v>
      </c>
      <c r="J69" s="223"/>
      <c r="K69" s="108"/>
      <c r="L69" s="245"/>
      <c r="M69" s="114"/>
      <c r="N69" s="108"/>
      <c r="O69" s="23" t="str">
        <f t="shared" si="1"/>
        <v>Доставка почтовых ящиков.</v>
      </c>
      <c r="R69" s="22" t="s">
        <v>72</v>
      </c>
    </row>
    <row r="70" spans="1:16384" ht="51" customHeight="1" outlineLevel="1">
      <c r="A70" s="221" t="str">
        <f>ПТО!A29</f>
        <v>Замена светильников на лестнице и тамбурах.</v>
      </c>
      <c r="B70" s="221"/>
      <c r="C70" s="221"/>
      <c r="D70" s="221"/>
      <c r="E70" s="221"/>
      <c r="F70" s="222">
        <f>VLOOKUP(A70,ПТО!$A$2:$D$31,4,FALSE)</f>
        <v>14400</v>
      </c>
      <c r="G70" s="222"/>
      <c r="H70" s="25" t="str">
        <f>VLOOKUP(A70,ПТО!$A$2:$D$31,2,FALSE)</f>
        <v>разово</v>
      </c>
      <c r="I70" s="223">
        <f>VLOOKUP(A70,ПТО!$A$2:$D$31,3,FALSE)</f>
        <v>1</v>
      </c>
      <c r="J70" s="223"/>
      <c r="K70" s="108"/>
      <c r="L70" s="245"/>
      <c r="M70" s="114"/>
      <c r="N70" s="108"/>
      <c r="O70" s="23" t="str">
        <f t="shared" si="1"/>
        <v>Замена светильников на лестнице и тамбурах.</v>
      </c>
      <c r="R70" s="22" t="s">
        <v>72</v>
      </c>
    </row>
    <row r="71" spans="1:16384" ht="51" customHeight="1" outlineLevel="1">
      <c r="A71" s="221" t="str">
        <f>ПТО!A30</f>
        <v>Сварочные работы на системе отопления (кв. 415).</v>
      </c>
      <c r="B71" s="221"/>
      <c r="C71" s="221"/>
      <c r="D71" s="221"/>
      <c r="E71" s="221"/>
      <c r="F71" s="222">
        <f>VLOOKUP(A71,ПТО!$A$2:$D$31,4,FALSE)</f>
        <v>3600</v>
      </c>
      <c r="G71" s="222"/>
      <c r="H71" s="25" t="str">
        <f>VLOOKUP(A71,ПТО!$A$2:$D$31,2,FALSE)</f>
        <v>разово</v>
      </c>
      <c r="I71" s="223">
        <f>VLOOKUP(A71,ПТО!$A$2:$D$31,3,FALSE)</f>
        <v>1</v>
      </c>
      <c r="J71" s="223"/>
      <c r="K71" s="114"/>
      <c r="L71" s="245"/>
      <c r="M71" s="114"/>
      <c r="N71" s="114"/>
      <c r="O71" s="23" t="str">
        <f t="shared" si="1"/>
        <v>Сварочные работы на системе отопления (кв. 415).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customHeight="1" outlineLevel="1">
      <c r="A72" s="221" t="str">
        <f>ПТО!A31</f>
        <v>Приобретение дверных ручек (10 шт.) и врезных защелок (4 шт.).</v>
      </c>
      <c r="B72" s="221"/>
      <c r="C72" s="221"/>
      <c r="D72" s="221"/>
      <c r="E72" s="221"/>
      <c r="F72" s="222">
        <f>VLOOKUP(A72,ПТО!$A$2:$D$31,4,FALSE)</f>
        <v>11486</v>
      </c>
      <c r="G72" s="222"/>
      <c r="H72" s="25" t="str">
        <f>VLOOKUP(A72,ПТО!$A$2:$D$31,2,FALSE)</f>
        <v>разово</v>
      </c>
      <c r="I72" s="223">
        <f>VLOOKUP(A72,ПТО!$A$2:$D$31,3,FALSE)</f>
        <v>1</v>
      </c>
      <c r="J72" s="223"/>
      <c r="K72" s="108"/>
      <c r="L72" s="245"/>
      <c r="M72" s="114"/>
      <c r="N72" s="108"/>
      <c r="O72" s="23" t="str">
        <f t="shared" si="1"/>
        <v>Приобретение дверных ручек (10 шт.) и врезных защелок (4 шт.).</v>
      </c>
      <c r="R72" s="22" t="s">
        <v>72</v>
      </c>
    </row>
    <row r="73" spans="1:16384" ht="51" customHeight="1" outlineLevel="1">
      <c r="A73" s="221" t="str">
        <f>ПТО!A32</f>
        <v>Приобретение сосны ствольной "Альпийская" 3 метра.</v>
      </c>
      <c r="B73" s="221"/>
      <c r="C73" s="221"/>
      <c r="D73" s="221"/>
      <c r="E73" s="221"/>
      <c r="F73" s="222">
        <f>VLOOKUP(A73,ПТО!$A$2:$D$36,4,FALSE)</f>
        <v>13436</v>
      </c>
      <c r="G73" s="222"/>
      <c r="H73" s="216" t="str">
        <f>VLOOKUP(A73,ПТО!$A$2:$D$36,2,FALSE)</f>
        <v>разово</v>
      </c>
      <c r="I73" s="223">
        <f>VLOOKUP(A73,ПТО!$A$2:$D$36,3,FALSE)</f>
        <v>1</v>
      </c>
      <c r="J73" s="223"/>
      <c r="K73" s="108"/>
      <c r="L73" s="217"/>
      <c r="M73" s="114"/>
      <c r="N73" s="108"/>
      <c r="O73" s="23" t="str">
        <f t="shared" si="1"/>
        <v>Приобретение сосны ствольной "Альпийская" 3 метра.</v>
      </c>
      <c r="R73" s="22" t="s">
        <v>72</v>
      </c>
    </row>
    <row r="74" spans="1:16384" ht="51" customHeight="1" outlineLevel="1">
      <c r="A74" s="221" t="str">
        <f>ПТО!A33</f>
        <v>Проведение новогоднего праздника.</v>
      </c>
      <c r="B74" s="221"/>
      <c r="C74" s="221"/>
      <c r="D74" s="221"/>
      <c r="E74" s="221"/>
      <c r="F74" s="222">
        <f>VLOOKUP(A74,ПТО!$A$2:$D$36,4,FALSE)</f>
        <v>7144</v>
      </c>
      <c r="G74" s="222"/>
      <c r="H74" s="216" t="str">
        <f>VLOOKUP(A74,ПТО!$A$2:$D$36,2,FALSE)</f>
        <v>разово</v>
      </c>
      <c r="I74" s="223">
        <f>VLOOKUP(A74,ПТО!$A$2:$D$36,3,FALSE)</f>
        <v>1</v>
      </c>
      <c r="J74" s="223"/>
      <c r="K74" s="108"/>
      <c r="L74" s="217"/>
      <c r="M74" s="114"/>
      <c r="N74" s="108"/>
      <c r="O74" s="23" t="str">
        <f t="shared" si="1"/>
        <v>Проведение новогоднего праздника.</v>
      </c>
      <c r="R74" s="22" t="s">
        <v>72</v>
      </c>
    </row>
    <row r="75" spans="1:16384" ht="51" customHeight="1" outlineLevel="1">
      <c r="A75" s="221" t="str">
        <f>ПТО!A34</f>
        <v>Замена компенсатора на стояке отопления (кв.372).</v>
      </c>
      <c r="B75" s="221"/>
      <c r="C75" s="221"/>
      <c r="D75" s="221"/>
      <c r="E75" s="221"/>
      <c r="F75" s="222">
        <f>VLOOKUP(A75,ПТО!$A$2:$D$36,4,FALSE)</f>
        <v>4000</v>
      </c>
      <c r="G75" s="222"/>
      <c r="H75" s="216" t="str">
        <f>VLOOKUP(A75,ПТО!$A$2:$D$36,2,FALSE)</f>
        <v>разово</v>
      </c>
      <c r="I75" s="223">
        <f>VLOOKUP(A75,ПТО!$A$2:$D$36,3,FALSE)</f>
        <v>1</v>
      </c>
      <c r="J75" s="223"/>
      <c r="K75" s="108"/>
      <c r="L75" s="217"/>
      <c r="M75" s="114"/>
      <c r="N75" s="108"/>
      <c r="O75" s="23" t="str">
        <f t="shared" si="1"/>
        <v>Замена компенсатора на стояке отопления (кв.372).</v>
      </c>
      <c r="R75" s="22" t="s">
        <v>72</v>
      </c>
    </row>
    <row r="76" spans="1:16384" ht="51" customHeight="1" outlineLevel="1">
      <c r="A76" s="221" t="str">
        <f>ПТО!A35</f>
        <v>Замена компенсатора на стояке отопления (2 шт., кв.273).</v>
      </c>
      <c r="B76" s="221"/>
      <c r="C76" s="221"/>
      <c r="D76" s="221"/>
      <c r="E76" s="221"/>
      <c r="F76" s="222">
        <f>VLOOKUP(A76,ПТО!$A$2:$D$36,4,FALSE)</f>
        <v>8000</v>
      </c>
      <c r="G76" s="222"/>
      <c r="H76" s="216" t="str">
        <f>VLOOKUP(A76,ПТО!$A$2:$D$36,2,FALSE)</f>
        <v>разово</v>
      </c>
      <c r="I76" s="223">
        <f>VLOOKUP(A76,ПТО!$A$2:$D$36,3,FALSE)</f>
        <v>1</v>
      </c>
      <c r="J76" s="223"/>
      <c r="K76" s="108"/>
      <c r="L76" s="217"/>
      <c r="M76" s="114"/>
      <c r="N76" s="108"/>
      <c r="O76" s="23" t="str">
        <f t="shared" si="1"/>
        <v>Замена компенсатора на стояке отопления (2 шт., кв.273).</v>
      </c>
      <c r="R76" s="22" t="s">
        <v>72</v>
      </c>
    </row>
    <row r="77" spans="1:16384" ht="51" customHeight="1" outlineLevel="1">
      <c r="A77" s="221" t="str">
        <f>ПТО!A36</f>
        <v>Приобретение торцевого уплотнения на насос системы ХВС.</v>
      </c>
      <c r="B77" s="221"/>
      <c r="C77" s="221"/>
      <c r="D77" s="221"/>
      <c r="E77" s="221"/>
      <c r="F77" s="222">
        <f>VLOOKUP(A77,ПТО!$A$2:$D$36,4,FALSE)</f>
        <v>15780</v>
      </c>
      <c r="G77" s="222"/>
      <c r="H77" s="216" t="str">
        <f>VLOOKUP(A77,ПТО!$A$2:$D$36,2,FALSE)</f>
        <v>разово</v>
      </c>
      <c r="I77" s="223">
        <f>VLOOKUP(A77,ПТО!$A$2:$D$36,3,FALSE)</f>
        <v>1</v>
      </c>
      <c r="J77" s="223"/>
      <c r="K77" s="108"/>
      <c r="L77" s="217"/>
      <c r="M77" s="114"/>
      <c r="N77" s="108"/>
      <c r="O77" s="23" t="str">
        <f t="shared" si="1"/>
        <v>Приобретение торцевого уплотнения на насос системы ХВС.</v>
      </c>
      <c r="R77" s="22" t="s">
        <v>72</v>
      </c>
    </row>
    <row r="78" spans="1:16384">
      <c r="A78" s="103" t="s">
        <v>173</v>
      </c>
      <c r="K78" s="108"/>
      <c r="L78" s="108"/>
      <c r="M78" s="108"/>
      <c r="N78" s="108"/>
    </row>
    <row r="79" spans="1:16384">
      <c r="A79" s="12" t="s">
        <v>31</v>
      </c>
      <c r="K79" s="108"/>
      <c r="L79" s="108"/>
      <c r="M79" s="108"/>
      <c r="N79" s="108"/>
    </row>
    <row r="80" spans="1:16384" ht="18.75" customHeight="1" outlineLevel="1">
      <c r="A80" s="239" t="s">
        <v>27</v>
      </c>
      <c r="B80" s="239"/>
      <c r="C80" s="239"/>
      <c r="D80" s="239"/>
      <c r="E80" s="239"/>
      <c r="F80" s="239"/>
      <c r="G80" s="239"/>
      <c r="H80" s="239"/>
      <c r="I80" s="239"/>
      <c r="J80" s="8">
        <f>VLOOKUP(O80,АО,3,FALSE)</f>
        <v>0</v>
      </c>
      <c r="K80" s="108"/>
      <c r="L80" s="228"/>
      <c r="M80" s="108"/>
      <c r="N80" s="108"/>
      <c r="O80" s="69" t="s">
        <v>98</v>
      </c>
    </row>
    <row r="81" spans="1:15" ht="18.75" customHeight="1" outlineLevel="1">
      <c r="A81" s="239" t="s">
        <v>28</v>
      </c>
      <c r="B81" s="239"/>
      <c r="C81" s="239"/>
      <c r="D81" s="239"/>
      <c r="E81" s="239"/>
      <c r="F81" s="239"/>
      <c r="G81" s="239"/>
      <c r="H81" s="239"/>
      <c r="I81" s="239"/>
      <c r="J81" s="8">
        <f>VLOOKUP(O81,АО,3,FALSE)</f>
        <v>0</v>
      </c>
      <c r="K81" s="108"/>
      <c r="L81" s="228"/>
      <c r="M81" s="108"/>
      <c r="N81" s="108"/>
      <c r="O81" s="69" t="s">
        <v>99</v>
      </c>
    </row>
    <row r="82" spans="1:15" ht="21.75" customHeight="1" outlineLevel="1">
      <c r="A82" s="239" t="s">
        <v>29</v>
      </c>
      <c r="B82" s="239"/>
      <c r="C82" s="239"/>
      <c r="D82" s="239"/>
      <c r="E82" s="239"/>
      <c r="F82" s="239"/>
      <c r="G82" s="239"/>
      <c r="H82" s="239"/>
      <c r="I82" s="239"/>
      <c r="J82" s="8">
        <f>VLOOKUP(O82,АО,3,FALSE)</f>
        <v>0</v>
      </c>
      <c r="K82" s="108"/>
      <c r="L82" s="228"/>
      <c r="M82" s="108"/>
      <c r="N82" s="108"/>
      <c r="O82" s="69" t="s">
        <v>100</v>
      </c>
    </row>
    <row r="83" spans="1:15" ht="18.75" customHeight="1" outlineLevel="1">
      <c r="A83" s="239" t="s">
        <v>30</v>
      </c>
      <c r="B83" s="239"/>
      <c r="C83" s="239"/>
      <c r="D83" s="239"/>
      <c r="E83" s="239"/>
      <c r="F83" s="239"/>
      <c r="G83" s="239"/>
      <c r="H83" s="239"/>
      <c r="I83" s="239"/>
      <c r="J83" s="96">
        <f>VLOOKUP(O83,АО,3,FALSE)</f>
        <v>0</v>
      </c>
      <c r="K83" s="108"/>
      <c r="L83" s="228"/>
      <c r="M83" s="108"/>
      <c r="N83" s="108"/>
      <c r="O83" s="69" t="s">
        <v>101</v>
      </c>
    </row>
    <row r="84" spans="1:15">
      <c r="A84" s="113" t="s">
        <v>173</v>
      </c>
      <c r="B84" s="7"/>
      <c r="C84" s="7"/>
      <c r="D84" s="7"/>
      <c r="E84" s="7"/>
      <c r="F84" s="7"/>
      <c r="G84" s="7"/>
      <c r="H84" s="7"/>
      <c r="I84" s="7"/>
      <c r="J84" s="7"/>
      <c r="K84" s="108"/>
      <c r="L84" s="108"/>
      <c r="M84" s="108"/>
      <c r="N84" s="108"/>
    </row>
    <row r="85" spans="1:15">
      <c r="A85" s="11" t="s">
        <v>34</v>
      </c>
      <c r="K85" s="108"/>
      <c r="L85" s="108"/>
      <c r="M85" s="108"/>
      <c r="N85" s="108"/>
    </row>
    <row r="86" spans="1:15" outlineLevel="1">
      <c r="A86" s="229" t="s">
        <v>2</v>
      </c>
      <c r="B86" s="229"/>
      <c r="C86" s="229"/>
      <c r="D86" s="229"/>
      <c r="E86" s="229"/>
      <c r="F86" s="229"/>
      <c r="G86" s="229"/>
      <c r="H86" s="229"/>
      <c r="I86" s="229"/>
      <c r="J86" s="96">
        <f t="shared" ref="J86:J95" si="2">VLOOKUP(O86,АО,3,FALSE)</f>
        <v>0</v>
      </c>
      <c r="K86" s="108"/>
      <c r="L86" s="246"/>
      <c r="M86" s="108"/>
      <c r="N86" s="108"/>
      <c r="O86" s="69" t="s">
        <v>102</v>
      </c>
    </row>
    <row r="87" spans="1:15" outlineLevel="1">
      <c r="A87" s="229" t="s">
        <v>3</v>
      </c>
      <c r="B87" s="229"/>
      <c r="C87" s="229"/>
      <c r="D87" s="229"/>
      <c r="E87" s="229"/>
      <c r="F87" s="229"/>
      <c r="G87" s="229"/>
      <c r="H87" s="229"/>
      <c r="I87" s="229"/>
      <c r="J87" s="96">
        <f t="shared" si="2"/>
        <v>0</v>
      </c>
      <c r="K87" s="108"/>
      <c r="L87" s="246"/>
      <c r="M87" s="108"/>
      <c r="N87" s="108"/>
      <c r="O87" s="69" t="s">
        <v>103</v>
      </c>
    </row>
    <row r="88" spans="1:15" outlineLevel="1">
      <c r="A88" s="236" t="s">
        <v>4</v>
      </c>
      <c r="B88" s="237"/>
      <c r="C88" s="237"/>
      <c r="D88" s="237"/>
      <c r="E88" s="237"/>
      <c r="F88" s="237"/>
      <c r="G88" s="237"/>
      <c r="H88" s="237"/>
      <c r="I88" s="238"/>
      <c r="J88" s="96">
        <f t="shared" si="2"/>
        <v>0</v>
      </c>
      <c r="K88" s="108"/>
      <c r="L88" s="246"/>
      <c r="M88" s="108"/>
      <c r="N88" s="108"/>
      <c r="O88" s="69" t="s">
        <v>104</v>
      </c>
    </row>
    <row r="89" spans="1:15" outlineLevel="1">
      <c r="A89" s="236" t="s">
        <v>16</v>
      </c>
      <c r="B89" s="237"/>
      <c r="C89" s="237"/>
      <c r="D89" s="237"/>
      <c r="E89" s="237"/>
      <c r="F89" s="237"/>
      <c r="G89" s="237"/>
      <c r="H89" s="237"/>
      <c r="I89" s="238"/>
      <c r="J89" s="96">
        <f t="shared" si="2"/>
        <v>0</v>
      </c>
      <c r="K89" s="108"/>
      <c r="L89" s="246"/>
      <c r="M89" s="108"/>
      <c r="N89" s="108"/>
      <c r="O89" s="69" t="s">
        <v>105</v>
      </c>
    </row>
    <row r="90" spans="1:15" outlineLevel="1">
      <c r="A90" s="236" t="s">
        <v>17</v>
      </c>
      <c r="B90" s="237"/>
      <c r="C90" s="237"/>
      <c r="D90" s="237"/>
      <c r="E90" s="237"/>
      <c r="F90" s="237"/>
      <c r="G90" s="237"/>
      <c r="H90" s="237"/>
      <c r="I90" s="238"/>
      <c r="J90" s="96">
        <f t="shared" si="2"/>
        <v>0</v>
      </c>
      <c r="K90" s="108"/>
      <c r="L90" s="246"/>
      <c r="M90" s="108"/>
      <c r="N90" s="108"/>
      <c r="O90" s="69" t="s">
        <v>106</v>
      </c>
    </row>
    <row r="91" spans="1:15" outlineLevel="1">
      <c r="A91" s="236" t="s">
        <v>18</v>
      </c>
      <c r="B91" s="237"/>
      <c r="C91" s="237"/>
      <c r="D91" s="237"/>
      <c r="E91" s="237"/>
      <c r="F91" s="237"/>
      <c r="G91" s="237"/>
      <c r="H91" s="237"/>
      <c r="I91" s="238"/>
      <c r="J91" s="96">
        <f t="shared" si="2"/>
        <v>0</v>
      </c>
      <c r="K91" s="108"/>
      <c r="L91" s="246"/>
      <c r="M91" s="108"/>
      <c r="N91" s="108"/>
      <c r="O91" s="69" t="s">
        <v>107</v>
      </c>
    </row>
    <row r="92" spans="1:15" ht="18.75" customHeight="1" outlineLevel="1">
      <c r="A92" s="236" t="s">
        <v>27</v>
      </c>
      <c r="B92" s="237"/>
      <c r="C92" s="237"/>
      <c r="D92" s="237"/>
      <c r="E92" s="237"/>
      <c r="F92" s="237"/>
      <c r="G92" s="237"/>
      <c r="H92" s="237"/>
      <c r="I92" s="238"/>
      <c r="J92" s="8">
        <f t="shared" si="2"/>
        <v>0</v>
      </c>
      <c r="K92" s="108"/>
      <c r="L92" s="246"/>
      <c r="M92" s="108"/>
      <c r="N92" s="108"/>
      <c r="O92" s="69" t="s">
        <v>108</v>
      </c>
    </row>
    <row r="93" spans="1:15" ht="18.75" customHeight="1" outlineLevel="1">
      <c r="A93" s="236" t="s">
        <v>28</v>
      </c>
      <c r="B93" s="237"/>
      <c r="C93" s="237"/>
      <c r="D93" s="237"/>
      <c r="E93" s="237"/>
      <c r="F93" s="237"/>
      <c r="G93" s="237"/>
      <c r="H93" s="237"/>
      <c r="I93" s="238"/>
      <c r="J93" s="8">
        <f t="shared" si="2"/>
        <v>0</v>
      </c>
      <c r="K93" s="108"/>
      <c r="L93" s="246"/>
      <c r="M93" s="108"/>
      <c r="N93" s="108"/>
      <c r="O93" s="69" t="s">
        <v>109</v>
      </c>
    </row>
    <row r="94" spans="1:15" ht="18.75" customHeight="1" outlineLevel="1">
      <c r="A94" s="236" t="s">
        <v>29</v>
      </c>
      <c r="B94" s="237"/>
      <c r="C94" s="237"/>
      <c r="D94" s="237"/>
      <c r="E94" s="237"/>
      <c r="F94" s="237"/>
      <c r="G94" s="237"/>
      <c r="H94" s="237"/>
      <c r="I94" s="238"/>
      <c r="J94" s="8">
        <f t="shared" si="2"/>
        <v>0</v>
      </c>
      <c r="K94" s="108"/>
      <c r="L94" s="246"/>
      <c r="M94" s="108"/>
      <c r="N94" s="108"/>
      <c r="O94" s="69" t="s">
        <v>110</v>
      </c>
    </row>
    <row r="95" spans="1:15" ht="18.75" customHeight="1" outlineLevel="1">
      <c r="A95" s="236" t="s">
        <v>30</v>
      </c>
      <c r="B95" s="237"/>
      <c r="C95" s="237"/>
      <c r="D95" s="237"/>
      <c r="E95" s="237"/>
      <c r="F95" s="237"/>
      <c r="G95" s="237"/>
      <c r="H95" s="237"/>
      <c r="I95" s="238"/>
      <c r="J95" s="96">
        <f t="shared" si="2"/>
        <v>0</v>
      </c>
      <c r="K95" s="108"/>
      <c r="L95" s="246"/>
      <c r="M95" s="108"/>
      <c r="N95" s="108"/>
      <c r="O95" s="69" t="s">
        <v>111</v>
      </c>
    </row>
    <row r="96" spans="1:15">
      <c r="A96" s="103" t="s">
        <v>173</v>
      </c>
      <c r="K96" s="108"/>
      <c r="L96" s="108"/>
      <c r="M96" s="108"/>
      <c r="N96" s="108"/>
    </row>
    <row r="97" spans="1:15">
      <c r="A97" s="11" t="s">
        <v>35</v>
      </c>
      <c r="K97" s="108"/>
      <c r="L97" s="108"/>
      <c r="M97" s="108"/>
      <c r="N97" s="108"/>
    </row>
    <row r="98" spans="1:15" ht="30.75" customHeight="1" outlineLevel="1">
      <c r="A98" s="230" t="s">
        <v>48</v>
      </c>
      <c r="B98" s="230"/>
      <c r="C98" s="230"/>
      <c r="D98" s="233" t="s">
        <v>49</v>
      </c>
      <c r="E98" s="233"/>
      <c r="F98" s="10" t="s">
        <v>50</v>
      </c>
      <c r="G98" s="230" t="s">
        <v>51</v>
      </c>
      <c r="H98" s="230"/>
      <c r="I98" s="230"/>
      <c r="J98" s="230"/>
      <c r="K98" s="108"/>
      <c r="L98" s="108"/>
      <c r="M98" s="108"/>
      <c r="N98" s="108"/>
    </row>
    <row r="99" spans="1:15" hidden="1" outlineLevel="1">
      <c r="A99" s="234">
        <f>IF(VLOOKUP("эл",АО,3,FALSE)&gt;0,"Электроснабжение",0)</f>
        <v>0</v>
      </c>
      <c r="B99" s="234"/>
      <c r="C99" s="234"/>
      <c r="D99" s="232">
        <f>IF(VLOOKUP("эл",АО,3,FALSE)&gt;0,VLOOKUP("эл",АО,3,FALSE),0)</f>
        <v>0</v>
      </c>
      <c r="E99" s="232"/>
      <c r="F99" s="13">
        <f>IF(VLOOKUP("эл",АО,3,FALSE)&gt;0,VLOOKUP("эл",АО,4,FALSE),0)</f>
        <v>0</v>
      </c>
      <c r="G99" s="231">
        <f>VLOOKUP("эл",АО,5,FALSE)</f>
        <v>0</v>
      </c>
      <c r="H99" s="232"/>
      <c r="I99" s="232"/>
      <c r="J99" s="232"/>
      <c r="K99" s="1" t="str">
        <f>VLOOKUP("эл",АО,2,FALSE)</f>
        <v>Электроснабжение</v>
      </c>
      <c r="L99" s="247"/>
    </row>
    <row r="100" spans="1:15" hidden="1" outlineLevel="2">
      <c r="A100" s="235">
        <f>IF(VLOOKUP("эл",АО,3,FALSE)&gt;0,VLOOKUP("эл1",АО,2,FALSE),0)</f>
        <v>0</v>
      </c>
      <c r="B100" s="235"/>
      <c r="C100" s="235"/>
      <c r="D100" s="235"/>
      <c r="E100" s="235"/>
      <c r="F100" s="235"/>
      <c r="G100" s="235"/>
      <c r="H100" s="235"/>
      <c r="I100" s="235"/>
      <c r="J100" s="18">
        <f t="shared" ref="J100:J106" si="3">VLOOKUP(O100,АО,3,FALSE)</f>
        <v>0</v>
      </c>
      <c r="L100" s="247"/>
      <c r="O100" s="1" t="s">
        <v>112</v>
      </c>
    </row>
    <row r="101" spans="1:15" hidden="1" outlineLevel="2">
      <c r="A101" s="235">
        <f>IF(VLOOKUP("эл",АО,3,FALSE)&gt;0,VLOOKUP("эл2",АО,2,FALSE),0)</f>
        <v>0</v>
      </c>
      <c r="B101" s="235"/>
      <c r="C101" s="235"/>
      <c r="D101" s="235"/>
      <c r="E101" s="235"/>
      <c r="F101" s="235"/>
      <c r="G101" s="235"/>
      <c r="H101" s="235"/>
      <c r="I101" s="235"/>
      <c r="J101" s="18">
        <f t="shared" si="3"/>
        <v>0</v>
      </c>
      <c r="L101" s="247"/>
      <c r="O101" s="1" t="s">
        <v>113</v>
      </c>
    </row>
    <row r="102" spans="1:15" hidden="1" outlineLevel="2">
      <c r="A102" s="235">
        <f>IF(VLOOKUP("эл",АО,3,FALSE)&gt;0,VLOOKUP("эл3",АО,2,FALSE),0)</f>
        <v>0</v>
      </c>
      <c r="B102" s="235"/>
      <c r="C102" s="235"/>
      <c r="D102" s="235"/>
      <c r="E102" s="235"/>
      <c r="F102" s="235"/>
      <c r="G102" s="235"/>
      <c r="H102" s="235"/>
      <c r="I102" s="235"/>
      <c r="J102" s="18">
        <f t="shared" si="3"/>
        <v>0</v>
      </c>
      <c r="L102" s="247"/>
      <c r="O102" s="1" t="s">
        <v>114</v>
      </c>
    </row>
    <row r="103" spans="1:15" ht="37.5" hidden="1" customHeight="1" outlineLevel="2">
      <c r="A103" s="235">
        <f>IF(VLOOKUP("эл",АО,3,FALSE)&gt;0,VLOOKUP("эл4",АО,2,FALSE),0)</f>
        <v>0</v>
      </c>
      <c r="B103" s="235"/>
      <c r="C103" s="235"/>
      <c r="D103" s="235"/>
      <c r="E103" s="235"/>
      <c r="F103" s="235"/>
      <c r="G103" s="235"/>
      <c r="H103" s="235"/>
      <c r="I103" s="235"/>
      <c r="J103" s="18">
        <f t="shared" si="3"/>
        <v>0</v>
      </c>
      <c r="L103" s="247"/>
      <c r="O103" s="1" t="s">
        <v>115</v>
      </c>
    </row>
    <row r="104" spans="1:15" hidden="1" outlineLevel="2">
      <c r="A104" s="235">
        <f>IF(VLOOKUP("эл",АО,3,FALSE)&gt;0,VLOOKUP("эл5",АО,2,FALSE),0)</f>
        <v>0</v>
      </c>
      <c r="B104" s="235"/>
      <c r="C104" s="235"/>
      <c r="D104" s="235"/>
      <c r="E104" s="235"/>
      <c r="F104" s="235"/>
      <c r="G104" s="235"/>
      <c r="H104" s="235"/>
      <c r="I104" s="235"/>
      <c r="J104" s="18">
        <f t="shared" si="3"/>
        <v>0</v>
      </c>
      <c r="L104" s="247"/>
      <c r="O104" s="1" t="s">
        <v>116</v>
      </c>
    </row>
    <row r="105" spans="1:15" ht="39" hidden="1" customHeight="1" outlineLevel="2">
      <c r="A105" s="235">
        <f>IF(VLOOKUP("эл",АО,3,FALSE)&gt;0,VLOOKUP("эл6",АО,2,FALSE),0)</f>
        <v>0</v>
      </c>
      <c r="B105" s="235"/>
      <c r="C105" s="235"/>
      <c r="D105" s="235"/>
      <c r="E105" s="235"/>
      <c r="F105" s="235"/>
      <c r="G105" s="235"/>
      <c r="H105" s="235"/>
      <c r="I105" s="235"/>
      <c r="J105" s="18">
        <f t="shared" si="3"/>
        <v>0</v>
      </c>
      <c r="L105" s="247"/>
      <c r="O105" s="1" t="s">
        <v>117</v>
      </c>
    </row>
    <row r="106" spans="1:15" ht="34.5" hidden="1" customHeight="1" outlineLevel="2">
      <c r="A106" s="235">
        <f>IF(VLOOKUP("эл",АО,3,FALSE)&gt;0,VLOOKUP("эл7",АО,2,FALSE),0)</f>
        <v>0</v>
      </c>
      <c r="B106" s="235"/>
      <c r="C106" s="235"/>
      <c r="D106" s="235"/>
      <c r="E106" s="235"/>
      <c r="F106" s="235"/>
      <c r="G106" s="235"/>
      <c r="H106" s="235"/>
      <c r="I106" s="235"/>
      <c r="J106" s="18">
        <f t="shared" si="3"/>
        <v>0</v>
      </c>
      <c r="L106" s="247"/>
      <c r="O106" s="1" t="s">
        <v>118</v>
      </c>
    </row>
    <row r="107" spans="1:15" ht="28.5" hidden="1" customHeight="1" outlineLevel="1">
      <c r="A107" s="234">
        <f>IF(VLOOKUP("хвс",АО,3,FALSE)&gt;0,"Холодное водоснабжение",0)</f>
        <v>0</v>
      </c>
      <c r="B107" s="234"/>
      <c r="C107" s="234"/>
      <c r="D107" s="232">
        <f>IF(VLOOKUP("хвс",АО,3,FALSE)&gt;0,VLOOKUP("хвс",АО,3,FALSE),0)</f>
        <v>0</v>
      </c>
      <c r="E107" s="232"/>
      <c r="F107" s="13">
        <f>IF(VLOOKUP("хвс",АО,3,FALSE)&gt;0,VLOOKUP("хвс",АО,4,FALSE),0)</f>
        <v>0</v>
      </c>
      <c r="G107" s="231">
        <f>VLOOKUP("хвс",АО,5,FALSE)</f>
        <v>0</v>
      </c>
      <c r="H107" s="232"/>
      <c r="I107" s="232"/>
      <c r="J107" s="232"/>
      <c r="L107" s="247"/>
    </row>
    <row r="108" spans="1:15" hidden="1" outlineLevel="2">
      <c r="A108" s="235">
        <f t="shared" ref="A108:A114" si="4">IF(VLOOKUP("хвс",АО,3,FALSE)&gt;0,VLOOKUP(O108,АО,2,FALSE),0)</f>
        <v>0</v>
      </c>
      <c r="B108" s="235"/>
      <c r="C108" s="235"/>
      <c r="D108" s="235"/>
      <c r="E108" s="235"/>
      <c r="F108" s="235"/>
      <c r="G108" s="235"/>
      <c r="H108" s="235"/>
      <c r="I108" s="235"/>
      <c r="J108" s="18">
        <f t="shared" ref="J108:J114" si="5">VLOOKUP(O108,АО,3,FALSE)</f>
        <v>0</v>
      </c>
      <c r="L108" s="247"/>
      <c r="O108" s="1" t="s">
        <v>121</v>
      </c>
    </row>
    <row r="109" spans="1:15" ht="18.75" hidden="1" customHeight="1" outlineLevel="2">
      <c r="A109" s="235">
        <f t="shared" si="4"/>
        <v>0</v>
      </c>
      <c r="B109" s="235"/>
      <c r="C109" s="235"/>
      <c r="D109" s="235"/>
      <c r="E109" s="235"/>
      <c r="F109" s="235"/>
      <c r="G109" s="235"/>
      <c r="H109" s="235"/>
      <c r="I109" s="235"/>
      <c r="J109" s="18">
        <f t="shared" si="5"/>
        <v>0</v>
      </c>
      <c r="L109" s="247"/>
      <c r="O109" s="1" t="s">
        <v>122</v>
      </c>
    </row>
    <row r="110" spans="1:15" ht="18.75" hidden="1" customHeight="1" outlineLevel="2">
      <c r="A110" s="235">
        <f t="shared" si="4"/>
        <v>0</v>
      </c>
      <c r="B110" s="235"/>
      <c r="C110" s="235"/>
      <c r="D110" s="235"/>
      <c r="E110" s="235"/>
      <c r="F110" s="235"/>
      <c r="G110" s="235"/>
      <c r="H110" s="235"/>
      <c r="I110" s="235"/>
      <c r="J110" s="18">
        <f t="shared" si="5"/>
        <v>0</v>
      </c>
      <c r="L110" s="247"/>
      <c r="O110" s="1" t="s">
        <v>123</v>
      </c>
    </row>
    <row r="111" spans="1:15" ht="36.75" hidden="1" customHeight="1" outlineLevel="2">
      <c r="A111" s="235">
        <f t="shared" si="4"/>
        <v>0</v>
      </c>
      <c r="B111" s="235"/>
      <c r="C111" s="235"/>
      <c r="D111" s="235"/>
      <c r="E111" s="235"/>
      <c r="F111" s="235"/>
      <c r="G111" s="235"/>
      <c r="H111" s="235"/>
      <c r="I111" s="235"/>
      <c r="J111" s="18">
        <f t="shared" si="5"/>
        <v>0</v>
      </c>
      <c r="L111" s="247"/>
      <c r="O111" s="1" t="s">
        <v>124</v>
      </c>
    </row>
    <row r="112" spans="1:15" ht="18.75" hidden="1" customHeight="1" outlineLevel="2">
      <c r="A112" s="235">
        <f t="shared" si="4"/>
        <v>0</v>
      </c>
      <c r="B112" s="235"/>
      <c r="C112" s="235"/>
      <c r="D112" s="235"/>
      <c r="E112" s="235"/>
      <c r="F112" s="235"/>
      <c r="G112" s="235"/>
      <c r="H112" s="235"/>
      <c r="I112" s="235"/>
      <c r="J112" s="18">
        <f t="shared" si="5"/>
        <v>0</v>
      </c>
      <c r="L112" s="247"/>
      <c r="O112" s="1" t="s">
        <v>125</v>
      </c>
    </row>
    <row r="113" spans="1:15" ht="37.5" hidden="1" customHeight="1" outlineLevel="2">
      <c r="A113" s="235">
        <f t="shared" si="4"/>
        <v>0</v>
      </c>
      <c r="B113" s="235"/>
      <c r="C113" s="235"/>
      <c r="D113" s="235"/>
      <c r="E113" s="235"/>
      <c r="F113" s="235"/>
      <c r="G113" s="235"/>
      <c r="H113" s="235"/>
      <c r="I113" s="235"/>
      <c r="J113" s="18">
        <f t="shared" si="5"/>
        <v>0</v>
      </c>
      <c r="L113" s="247"/>
      <c r="O113" s="1" t="s">
        <v>126</v>
      </c>
    </row>
    <row r="114" spans="1:15" ht="39.75" hidden="1" customHeight="1" outlineLevel="2">
      <c r="A114" s="235">
        <f t="shared" si="4"/>
        <v>0</v>
      </c>
      <c r="B114" s="235"/>
      <c r="C114" s="235"/>
      <c r="D114" s="235"/>
      <c r="E114" s="235"/>
      <c r="F114" s="235"/>
      <c r="G114" s="235"/>
      <c r="H114" s="235"/>
      <c r="I114" s="235"/>
      <c r="J114" s="18">
        <f t="shared" si="5"/>
        <v>0</v>
      </c>
      <c r="L114" s="247"/>
      <c r="O114" s="1" t="s">
        <v>127</v>
      </c>
    </row>
    <row r="115" spans="1:15" ht="27" hidden="1" customHeight="1" outlineLevel="1">
      <c r="A115" s="234">
        <f>IF(VLOOKUP("воо",АО,3,FALSE)&gt;0,"Водоотведение",0)</f>
        <v>0</v>
      </c>
      <c r="B115" s="234"/>
      <c r="C115" s="234"/>
      <c r="D115" s="232">
        <f>IF(VLOOKUP("воо",АО,3,FALSE)&gt;0,VLOOKUP("воо",АО,3,FALSE),0)</f>
        <v>0</v>
      </c>
      <c r="E115" s="232"/>
      <c r="F115" s="13">
        <f>IF(VLOOKUP("воо",АО,3,FALSE)&gt;0,VLOOKUP("воо",АО,4,FALSE),0)</f>
        <v>0</v>
      </c>
      <c r="G115" s="231">
        <f>VLOOKUP("воо",АО,5,FALSE)</f>
        <v>0</v>
      </c>
      <c r="H115" s="232"/>
      <c r="I115" s="232"/>
      <c r="J115" s="232"/>
      <c r="L115" s="247"/>
    </row>
    <row r="116" spans="1:15" hidden="1" outlineLevel="2">
      <c r="A116" s="229">
        <f t="shared" ref="A116:A122" si="6">IF(VLOOKUP("воо",АО,3,FALSE)&gt;0,VLOOKUP(O116,АО,2,FALSE),0)</f>
        <v>0</v>
      </c>
      <c r="B116" s="229"/>
      <c r="C116" s="229"/>
      <c r="D116" s="229"/>
      <c r="E116" s="229"/>
      <c r="F116" s="229"/>
      <c r="G116" s="229"/>
      <c r="H116" s="229"/>
      <c r="I116" s="229"/>
      <c r="J116" s="18">
        <f t="shared" ref="J116:J122" si="7">VLOOKUP(O116,АО,3,FALSE)</f>
        <v>0</v>
      </c>
      <c r="L116" s="247"/>
      <c r="O116" s="1" t="s">
        <v>129</v>
      </c>
    </row>
    <row r="117" spans="1:15" ht="18.75" hidden="1" customHeight="1" outlineLevel="2">
      <c r="A117" s="229">
        <f t="shared" si="6"/>
        <v>0</v>
      </c>
      <c r="B117" s="229"/>
      <c r="C117" s="229"/>
      <c r="D117" s="229"/>
      <c r="E117" s="229"/>
      <c r="F117" s="229"/>
      <c r="G117" s="229"/>
      <c r="H117" s="229"/>
      <c r="I117" s="229"/>
      <c r="J117" s="18">
        <f t="shared" si="7"/>
        <v>0</v>
      </c>
      <c r="L117" s="247"/>
      <c r="O117" s="1" t="s">
        <v>130</v>
      </c>
    </row>
    <row r="118" spans="1:15" ht="19.5" hidden="1" customHeight="1" outlineLevel="2">
      <c r="A118" s="229">
        <f t="shared" si="6"/>
        <v>0</v>
      </c>
      <c r="B118" s="229"/>
      <c r="C118" s="229"/>
      <c r="D118" s="229"/>
      <c r="E118" s="229"/>
      <c r="F118" s="229"/>
      <c r="G118" s="229"/>
      <c r="H118" s="229"/>
      <c r="I118" s="229"/>
      <c r="J118" s="18">
        <f t="shared" si="7"/>
        <v>0</v>
      </c>
      <c r="L118" s="247"/>
      <c r="O118" s="1" t="s">
        <v>131</v>
      </c>
    </row>
    <row r="119" spans="1:15" ht="33" hidden="1" customHeight="1" outlineLevel="2">
      <c r="A119" s="229">
        <f t="shared" si="6"/>
        <v>0</v>
      </c>
      <c r="B119" s="229"/>
      <c r="C119" s="229"/>
      <c r="D119" s="229"/>
      <c r="E119" s="229"/>
      <c r="F119" s="229"/>
      <c r="G119" s="229"/>
      <c r="H119" s="229"/>
      <c r="I119" s="229"/>
      <c r="J119" s="18">
        <f t="shared" si="7"/>
        <v>0</v>
      </c>
      <c r="L119" s="247"/>
      <c r="O119" s="1" t="s">
        <v>132</v>
      </c>
    </row>
    <row r="120" spans="1:15" ht="18.75" hidden="1" customHeight="1" outlineLevel="2">
      <c r="A120" s="229">
        <f t="shared" si="6"/>
        <v>0</v>
      </c>
      <c r="B120" s="229"/>
      <c r="C120" s="229"/>
      <c r="D120" s="229"/>
      <c r="E120" s="229"/>
      <c r="F120" s="229"/>
      <c r="G120" s="229"/>
      <c r="H120" s="229"/>
      <c r="I120" s="229"/>
      <c r="J120" s="18">
        <f t="shared" si="7"/>
        <v>0</v>
      </c>
      <c r="L120" s="247"/>
      <c r="O120" s="1" t="s">
        <v>133</v>
      </c>
    </row>
    <row r="121" spans="1:15" ht="33.75" hidden="1" customHeight="1" outlineLevel="2">
      <c r="A121" s="229">
        <f t="shared" si="6"/>
        <v>0</v>
      </c>
      <c r="B121" s="229"/>
      <c r="C121" s="229"/>
      <c r="D121" s="229"/>
      <c r="E121" s="229"/>
      <c r="F121" s="229"/>
      <c r="G121" s="229"/>
      <c r="H121" s="229"/>
      <c r="I121" s="229"/>
      <c r="J121" s="18">
        <f t="shared" si="7"/>
        <v>0</v>
      </c>
      <c r="L121" s="247"/>
      <c r="O121" s="1" t="s">
        <v>134</v>
      </c>
    </row>
    <row r="122" spans="1:15" ht="32.25" hidden="1" customHeight="1" outlineLevel="2">
      <c r="A122" s="229">
        <f t="shared" si="6"/>
        <v>0</v>
      </c>
      <c r="B122" s="229"/>
      <c r="C122" s="229"/>
      <c r="D122" s="229"/>
      <c r="E122" s="229"/>
      <c r="F122" s="229"/>
      <c r="G122" s="229"/>
      <c r="H122" s="229"/>
      <c r="I122" s="229"/>
      <c r="J122" s="18">
        <f t="shared" si="7"/>
        <v>0</v>
      </c>
      <c r="L122" s="247"/>
      <c r="O122" s="1" t="s">
        <v>135</v>
      </c>
    </row>
    <row r="123" spans="1:15" ht="32.25" hidden="1" customHeight="1" outlineLevel="1">
      <c r="A123" s="234">
        <f>IF(VLOOKUP("тко",АО,3,FALSE)&gt;0,"Обращение с ТКО",0)</f>
        <v>0</v>
      </c>
      <c r="B123" s="234"/>
      <c r="C123" s="234"/>
      <c r="D123" s="232">
        <f>IF(VLOOKUP("тко",АО,3,FALSE)&gt;0,VLOOKUP("тко",АО,3,FALSE),0)</f>
        <v>0</v>
      </c>
      <c r="E123" s="232"/>
      <c r="F123" s="13">
        <f>IF(VLOOKUP("тко",АО,3,FALSE)&gt;0,VLOOKUP("тко",АО,4,FALSE),0)</f>
        <v>0</v>
      </c>
      <c r="G123" s="231">
        <f>VLOOKUP("тко",АО,5,FALSE)</f>
        <v>0</v>
      </c>
      <c r="H123" s="232"/>
      <c r="I123" s="232"/>
      <c r="J123" s="232"/>
      <c r="L123" s="46"/>
    </row>
    <row r="124" spans="1:15" ht="32.25" hidden="1" customHeight="1" outlineLevel="2">
      <c r="A124" s="229">
        <f t="shared" ref="A124:A130" si="8">IF(VLOOKUP("тко",АО,3,FALSE)&gt;0,VLOOKUP(O124,АО,2,FALSE),0)</f>
        <v>0</v>
      </c>
      <c r="B124" s="229"/>
      <c r="C124" s="229"/>
      <c r="D124" s="229"/>
      <c r="E124" s="229"/>
      <c r="F124" s="229"/>
      <c r="G124" s="229"/>
      <c r="H124" s="229"/>
      <c r="I124" s="229"/>
      <c r="J124" s="18">
        <f t="shared" ref="J124:J130" si="9">VLOOKUP(O124,АО,3,FALSE)</f>
        <v>0</v>
      </c>
      <c r="L124" s="46"/>
      <c r="O124" s="1" t="s">
        <v>137</v>
      </c>
    </row>
    <row r="125" spans="1:15" ht="32.25" hidden="1" customHeight="1" outlineLevel="2">
      <c r="A125" s="229">
        <f t="shared" si="8"/>
        <v>0</v>
      </c>
      <c r="B125" s="229"/>
      <c r="C125" s="229"/>
      <c r="D125" s="229"/>
      <c r="E125" s="229"/>
      <c r="F125" s="229"/>
      <c r="G125" s="229"/>
      <c r="H125" s="229"/>
      <c r="I125" s="229"/>
      <c r="J125" s="18">
        <f t="shared" si="9"/>
        <v>0</v>
      </c>
      <c r="L125" s="46"/>
      <c r="O125" s="1" t="s">
        <v>138</v>
      </c>
    </row>
    <row r="126" spans="1:15" ht="32.25" hidden="1" customHeight="1" outlineLevel="2">
      <c r="A126" s="229">
        <f t="shared" si="8"/>
        <v>0</v>
      </c>
      <c r="B126" s="229"/>
      <c r="C126" s="229"/>
      <c r="D126" s="229"/>
      <c r="E126" s="229"/>
      <c r="F126" s="229"/>
      <c r="G126" s="229"/>
      <c r="H126" s="229"/>
      <c r="I126" s="229"/>
      <c r="J126" s="18">
        <f t="shared" si="9"/>
        <v>0</v>
      </c>
      <c r="L126" s="46"/>
      <c r="O126" s="1" t="s">
        <v>139</v>
      </c>
    </row>
    <row r="127" spans="1:15" ht="32.25" hidden="1" customHeight="1" outlineLevel="2">
      <c r="A127" s="229">
        <f t="shared" si="8"/>
        <v>0</v>
      </c>
      <c r="B127" s="229"/>
      <c r="C127" s="229"/>
      <c r="D127" s="229"/>
      <c r="E127" s="229"/>
      <c r="F127" s="229"/>
      <c r="G127" s="229"/>
      <c r="H127" s="229"/>
      <c r="I127" s="229"/>
      <c r="J127" s="18">
        <f t="shared" si="9"/>
        <v>0</v>
      </c>
      <c r="L127" s="46"/>
      <c r="O127" s="1" t="s">
        <v>140</v>
      </c>
    </row>
    <row r="128" spans="1:15" ht="32.25" hidden="1" customHeight="1" outlineLevel="2">
      <c r="A128" s="229">
        <f t="shared" si="8"/>
        <v>0</v>
      </c>
      <c r="B128" s="229"/>
      <c r="C128" s="229"/>
      <c r="D128" s="229"/>
      <c r="E128" s="229"/>
      <c r="F128" s="229"/>
      <c r="G128" s="229"/>
      <c r="H128" s="229"/>
      <c r="I128" s="229"/>
      <c r="J128" s="18">
        <f t="shared" si="9"/>
        <v>0</v>
      </c>
      <c r="L128" s="46"/>
      <c r="O128" s="1" t="s">
        <v>141</v>
      </c>
    </row>
    <row r="129" spans="1:15" ht="32.25" hidden="1" customHeight="1" outlineLevel="2">
      <c r="A129" s="229">
        <f t="shared" si="8"/>
        <v>0</v>
      </c>
      <c r="B129" s="229"/>
      <c r="C129" s="229"/>
      <c r="D129" s="229"/>
      <c r="E129" s="229"/>
      <c r="F129" s="229"/>
      <c r="G129" s="229"/>
      <c r="H129" s="229"/>
      <c r="I129" s="229"/>
      <c r="J129" s="18">
        <f t="shared" si="9"/>
        <v>0</v>
      </c>
      <c r="L129" s="46"/>
      <c r="O129" s="1" t="s">
        <v>142</v>
      </c>
    </row>
    <row r="130" spans="1:15" ht="32.25" hidden="1" customHeight="1" outlineLevel="2">
      <c r="A130" s="229">
        <f t="shared" si="8"/>
        <v>0</v>
      </c>
      <c r="B130" s="229"/>
      <c r="C130" s="229"/>
      <c r="D130" s="229"/>
      <c r="E130" s="229"/>
      <c r="F130" s="229"/>
      <c r="G130" s="229"/>
      <c r="H130" s="229"/>
      <c r="I130" s="229"/>
      <c r="J130" s="18">
        <f t="shared" si="9"/>
        <v>0</v>
      </c>
      <c r="L130" s="46"/>
      <c r="O130" s="1" t="s">
        <v>143</v>
      </c>
    </row>
    <row r="131" spans="1:15" ht="32.25" hidden="1" customHeight="1" outlineLevel="1">
      <c r="A131" s="234">
        <f>IF(VLOOKUP("гвс",АО,3,FALSE)&gt;0,"Горячее водоснабжение",0)</f>
        <v>0</v>
      </c>
      <c r="B131" s="234"/>
      <c r="C131" s="234"/>
      <c r="D131" s="232">
        <f>IF(VLOOKUP("гвс",АО,3,FALSE)&gt;0,VLOOKUP("гвс",АО,3,FALSE),0)</f>
        <v>0</v>
      </c>
      <c r="E131" s="232"/>
      <c r="F131" s="13">
        <f>IF(VLOOKUP("гвс",АО,3,FALSE)&gt;0,VLOOKUP("гвс",АО,4,FALSE),0)</f>
        <v>0</v>
      </c>
      <c r="G131" s="231">
        <f>VLOOKUP("гвс",АО,5,FALSE)</f>
        <v>0</v>
      </c>
      <c r="H131" s="232"/>
      <c r="I131" s="232"/>
      <c r="J131" s="232"/>
      <c r="L131" s="46"/>
    </row>
    <row r="132" spans="1:15" ht="32.25" hidden="1" customHeight="1" outlineLevel="2">
      <c r="A132" s="229">
        <f t="shared" ref="A132:A138" si="10">IF(VLOOKUP("гвс",АО,3,FALSE)&gt;0,VLOOKUP(O132,АО,2,FALSE),0)</f>
        <v>0</v>
      </c>
      <c r="B132" s="229"/>
      <c r="C132" s="229"/>
      <c r="D132" s="229"/>
      <c r="E132" s="229"/>
      <c r="F132" s="229"/>
      <c r="G132" s="229"/>
      <c r="H132" s="229"/>
      <c r="I132" s="229"/>
      <c r="J132" s="18">
        <f t="shared" ref="J132:J138" si="11">VLOOKUP(O132,АО,3,FALSE)</f>
        <v>0</v>
      </c>
      <c r="L132" s="46"/>
      <c r="O132" s="1" t="s">
        <v>145</v>
      </c>
    </row>
    <row r="133" spans="1:15" ht="32.25" hidden="1" customHeight="1" outlineLevel="2">
      <c r="A133" s="229">
        <f t="shared" si="10"/>
        <v>0</v>
      </c>
      <c r="B133" s="229"/>
      <c r="C133" s="229"/>
      <c r="D133" s="229"/>
      <c r="E133" s="229"/>
      <c r="F133" s="229"/>
      <c r="G133" s="229"/>
      <c r="H133" s="229"/>
      <c r="I133" s="229"/>
      <c r="J133" s="18">
        <f t="shared" si="11"/>
        <v>0</v>
      </c>
      <c r="L133" s="46"/>
      <c r="O133" s="1" t="s">
        <v>146</v>
      </c>
    </row>
    <row r="134" spans="1:15" ht="32.25" hidden="1" customHeight="1" outlineLevel="2">
      <c r="A134" s="229">
        <f t="shared" si="10"/>
        <v>0</v>
      </c>
      <c r="B134" s="229"/>
      <c r="C134" s="229"/>
      <c r="D134" s="229"/>
      <c r="E134" s="229"/>
      <c r="F134" s="229"/>
      <c r="G134" s="229"/>
      <c r="H134" s="229"/>
      <c r="I134" s="229"/>
      <c r="J134" s="18">
        <f t="shared" si="11"/>
        <v>0</v>
      </c>
      <c r="L134" s="46"/>
      <c r="O134" s="1" t="s">
        <v>147</v>
      </c>
    </row>
    <row r="135" spans="1:15" ht="32.25" hidden="1" customHeight="1" outlineLevel="2">
      <c r="A135" s="229">
        <f t="shared" si="10"/>
        <v>0</v>
      </c>
      <c r="B135" s="229"/>
      <c r="C135" s="229"/>
      <c r="D135" s="229"/>
      <c r="E135" s="229"/>
      <c r="F135" s="229"/>
      <c r="G135" s="229"/>
      <c r="H135" s="229"/>
      <c r="I135" s="229"/>
      <c r="J135" s="18">
        <f t="shared" si="11"/>
        <v>0</v>
      </c>
      <c r="L135" s="46"/>
      <c r="O135" s="1" t="s">
        <v>148</v>
      </c>
    </row>
    <row r="136" spans="1:15" ht="32.25" hidden="1" customHeight="1" outlineLevel="2">
      <c r="A136" s="229">
        <f t="shared" si="10"/>
        <v>0</v>
      </c>
      <c r="B136" s="229"/>
      <c r="C136" s="229"/>
      <c r="D136" s="229"/>
      <c r="E136" s="229"/>
      <c r="F136" s="229"/>
      <c r="G136" s="229"/>
      <c r="H136" s="229"/>
      <c r="I136" s="229"/>
      <c r="J136" s="18">
        <f t="shared" si="11"/>
        <v>0</v>
      </c>
      <c r="L136" s="46"/>
      <c r="O136" s="1" t="s">
        <v>149</v>
      </c>
    </row>
    <row r="137" spans="1:15" ht="32.25" hidden="1" customHeight="1" outlineLevel="2">
      <c r="A137" s="229">
        <f t="shared" si="10"/>
        <v>0</v>
      </c>
      <c r="B137" s="229"/>
      <c r="C137" s="229"/>
      <c r="D137" s="229"/>
      <c r="E137" s="229"/>
      <c r="F137" s="229"/>
      <c r="G137" s="229"/>
      <c r="H137" s="229"/>
      <c r="I137" s="229"/>
      <c r="J137" s="18">
        <f t="shared" si="11"/>
        <v>0</v>
      </c>
      <c r="L137" s="46"/>
      <c r="O137" s="1" t="s">
        <v>150</v>
      </c>
    </row>
    <row r="138" spans="1:15" ht="32.25" hidden="1" customHeight="1" outlineLevel="2">
      <c r="A138" s="229">
        <f t="shared" si="10"/>
        <v>0</v>
      </c>
      <c r="B138" s="229"/>
      <c r="C138" s="229"/>
      <c r="D138" s="229"/>
      <c r="E138" s="229"/>
      <c r="F138" s="229"/>
      <c r="G138" s="229"/>
      <c r="H138" s="229"/>
      <c r="I138" s="229"/>
      <c r="J138" s="18">
        <f t="shared" si="11"/>
        <v>0</v>
      </c>
      <c r="L138" s="46"/>
      <c r="O138" s="1" t="s">
        <v>151</v>
      </c>
    </row>
    <row r="139" spans="1:15" ht="32.25" hidden="1" customHeight="1" outlineLevel="1">
      <c r="A139" s="234">
        <f>IF(VLOOKUP("отопление",АО,3,FALSE)&gt;0,"Отопление",0)</f>
        <v>0</v>
      </c>
      <c r="B139" s="234"/>
      <c r="C139" s="234"/>
      <c r="D139" s="232">
        <f>IF(VLOOKUP("отопление",АО,3,FALSE)&gt;0,VLOOKUP("отопление",АО,3,FALSE),0)</f>
        <v>0</v>
      </c>
      <c r="E139" s="232"/>
      <c r="F139" s="13">
        <f>IF(VLOOKUP("отопление",АО,3,FALSE)&gt;0,VLOOKUP("отопление",АО,4,FALSE),0)</f>
        <v>0</v>
      </c>
      <c r="G139" s="231">
        <f>VLOOKUP("отопление",АО,5,FALSE)</f>
        <v>0</v>
      </c>
      <c r="H139" s="232"/>
      <c r="I139" s="232"/>
      <c r="J139" s="232"/>
      <c r="L139" s="46"/>
    </row>
    <row r="140" spans="1:15" ht="32.25" hidden="1" customHeight="1" outlineLevel="2">
      <c r="A140" s="229">
        <f t="shared" ref="A140:A146" si="12">IF(VLOOKUP("отопление",АО,3,FALSE)&gt;0,VLOOKUP(O140,АО,2,FALSE),0)</f>
        <v>0</v>
      </c>
      <c r="B140" s="229"/>
      <c r="C140" s="229"/>
      <c r="D140" s="229"/>
      <c r="E140" s="229"/>
      <c r="F140" s="229"/>
      <c r="G140" s="229"/>
      <c r="H140" s="229"/>
      <c r="I140" s="229"/>
      <c r="J140" s="18">
        <f t="shared" ref="J140:J146" si="13">VLOOKUP(O140,АО,3,FALSE)</f>
        <v>0</v>
      </c>
      <c r="L140" s="46"/>
      <c r="O140" s="1" t="s">
        <v>153</v>
      </c>
    </row>
    <row r="141" spans="1:15" ht="32.25" hidden="1" customHeight="1" outlineLevel="2">
      <c r="A141" s="229">
        <f t="shared" si="12"/>
        <v>0</v>
      </c>
      <c r="B141" s="229"/>
      <c r="C141" s="229"/>
      <c r="D141" s="229"/>
      <c r="E141" s="229"/>
      <c r="F141" s="229"/>
      <c r="G141" s="229"/>
      <c r="H141" s="229"/>
      <c r="I141" s="229"/>
      <c r="J141" s="18">
        <f t="shared" si="13"/>
        <v>0</v>
      </c>
      <c r="L141" s="46"/>
      <c r="O141" s="1" t="s">
        <v>154</v>
      </c>
    </row>
    <row r="142" spans="1:15" ht="32.25" hidden="1" customHeight="1" outlineLevel="2">
      <c r="A142" s="229">
        <f t="shared" si="12"/>
        <v>0</v>
      </c>
      <c r="B142" s="229"/>
      <c r="C142" s="229"/>
      <c r="D142" s="229"/>
      <c r="E142" s="229"/>
      <c r="F142" s="229"/>
      <c r="G142" s="229"/>
      <c r="H142" s="229"/>
      <c r="I142" s="229"/>
      <c r="J142" s="18">
        <f t="shared" si="13"/>
        <v>0</v>
      </c>
      <c r="L142" s="46"/>
      <c r="O142" s="1" t="s">
        <v>155</v>
      </c>
    </row>
    <row r="143" spans="1:15" ht="32.25" hidden="1" customHeight="1" outlineLevel="2">
      <c r="A143" s="229">
        <f t="shared" si="12"/>
        <v>0</v>
      </c>
      <c r="B143" s="229"/>
      <c r="C143" s="229"/>
      <c r="D143" s="229"/>
      <c r="E143" s="229"/>
      <c r="F143" s="229"/>
      <c r="G143" s="229"/>
      <c r="H143" s="229"/>
      <c r="I143" s="229"/>
      <c r="J143" s="18">
        <f t="shared" si="13"/>
        <v>0</v>
      </c>
      <c r="L143" s="46"/>
      <c r="O143" s="1" t="s">
        <v>156</v>
      </c>
    </row>
    <row r="144" spans="1:15" ht="32.25" hidden="1" customHeight="1" outlineLevel="2">
      <c r="A144" s="229">
        <f t="shared" si="12"/>
        <v>0</v>
      </c>
      <c r="B144" s="229"/>
      <c r="C144" s="229"/>
      <c r="D144" s="229"/>
      <c r="E144" s="229"/>
      <c r="F144" s="229"/>
      <c r="G144" s="229"/>
      <c r="H144" s="229"/>
      <c r="I144" s="229"/>
      <c r="J144" s="18">
        <f t="shared" si="13"/>
        <v>0</v>
      </c>
      <c r="L144" s="46"/>
      <c r="O144" s="1" t="s">
        <v>157</v>
      </c>
    </row>
    <row r="145" spans="1:15" ht="32.25" hidden="1" customHeight="1" outlineLevel="2">
      <c r="A145" s="229">
        <f t="shared" si="12"/>
        <v>0</v>
      </c>
      <c r="B145" s="229"/>
      <c r="C145" s="229"/>
      <c r="D145" s="229"/>
      <c r="E145" s="229"/>
      <c r="F145" s="229"/>
      <c r="G145" s="229"/>
      <c r="H145" s="229"/>
      <c r="I145" s="229"/>
      <c r="J145" s="18">
        <f t="shared" si="13"/>
        <v>0</v>
      </c>
      <c r="L145" s="46"/>
      <c r="O145" s="1" t="s">
        <v>158</v>
      </c>
    </row>
    <row r="146" spans="1:15" ht="32.25" hidden="1" customHeight="1" outlineLevel="2">
      <c r="A146" s="229">
        <f t="shared" si="12"/>
        <v>0</v>
      </c>
      <c r="B146" s="229"/>
      <c r="C146" s="229"/>
      <c r="D146" s="229"/>
      <c r="E146" s="229"/>
      <c r="F146" s="229"/>
      <c r="G146" s="229"/>
      <c r="H146" s="229"/>
      <c r="I146" s="229"/>
      <c r="J146" s="18">
        <f t="shared" si="13"/>
        <v>0</v>
      </c>
      <c r="L146" s="46"/>
      <c r="O146" s="1" t="s">
        <v>159</v>
      </c>
    </row>
    <row r="148" spans="1:15">
      <c r="A148" s="11" t="s">
        <v>44</v>
      </c>
    </row>
    <row r="149" spans="1:15" ht="18.75" customHeight="1" outlineLevel="1">
      <c r="A149" s="229" t="s">
        <v>45</v>
      </c>
      <c r="B149" s="229"/>
      <c r="C149" s="229"/>
      <c r="D149" s="229"/>
      <c r="E149" s="229"/>
      <c r="F149" s="229"/>
      <c r="G149" s="229"/>
      <c r="H149" s="229"/>
      <c r="I149" s="229"/>
      <c r="J149" s="14">
        <f>VLOOKUP(O149,юр,3,FALSE)</f>
        <v>0</v>
      </c>
      <c r="O149" t="s">
        <v>169</v>
      </c>
    </row>
    <row r="150" spans="1:15" ht="18.75" customHeight="1" outlineLevel="1">
      <c r="A150" s="229" t="s">
        <v>46</v>
      </c>
      <c r="B150" s="229"/>
      <c r="C150" s="229"/>
      <c r="D150" s="229"/>
      <c r="E150" s="229"/>
      <c r="F150" s="229"/>
      <c r="G150" s="229"/>
      <c r="H150" s="229"/>
      <c r="I150" s="229"/>
      <c r="J150" s="14">
        <f>VLOOKUP(O150,юр,3,FALSE)</f>
        <v>25</v>
      </c>
      <c r="L150" s="15"/>
      <c r="O150" t="s">
        <v>170</v>
      </c>
    </row>
    <row r="151" spans="1:15" ht="30" customHeight="1" outlineLevel="1">
      <c r="A151" s="229" t="s">
        <v>172</v>
      </c>
      <c r="B151" s="229"/>
      <c r="C151" s="229"/>
      <c r="D151" s="229"/>
      <c r="E151" s="229"/>
      <c r="F151" s="229"/>
      <c r="G151" s="229"/>
      <c r="H151" s="229"/>
      <c r="I151" s="229"/>
      <c r="J151" s="9">
        <f>VLOOKUP(O151,юр,3,FALSE)</f>
        <v>136897.56</v>
      </c>
      <c r="O151" t="s">
        <v>171</v>
      </c>
    </row>
    <row r="154" spans="1:15" ht="52.5" customHeight="1">
      <c r="A154" s="225" t="s">
        <v>179</v>
      </c>
      <c r="B154" s="225"/>
      <c r="C154" s="225"/>
      <c r="D154" s="225"/>
      <c r="E154" s="225"/>
      <c r="F154" s="225"/>
      <c r="G154" s="225"/>
      <c r="H154" s="225"/>
      <c r="I154" s="225"/>
      <c r="J154" s="225"/>
    </row>
    <row r="156" spans="1:15">
      <c r="A156" s="1" t="s">
        <v>0</v>
      </c>
      <c r="E156" s="3">
        <v>44927</v>
      </c>
    </row>
    <row r="157" spans="1:15">
      <c r="A157" s="1" t="s">
        <v>1</v>
      </c>
      <c r="E157" s="3">
        <v>45291</v>
      </c>
    </row>
    <row r="159" spans="1:15" ht="39.75" customHeight="1">
      <c r="A159" s="224" t="s">
        <v>194</v>
      </c>
      <c r="B159" s="224"/>
      <c r="C159" s="224"/>
      <c r="D159" s="224"/>
      <c r="E159" s="27">
        <f>ПТО!G1</f>
        <v>-927787.3</v>
      </c>
    </row>
    <row r="160" spans="1:15" ht="34.5" customHeight="1">
      <c r="A160" s="226" t="s">
        <v>195</v>
      </c>
      <c r="B160" s="226"/>
      <c r="C160" s="226"/>
      <c r="D160" s="226"/>
      <c r="E160" s="28">
        <f>J13</f>
        <v>832110</v>
      </c>
      <c r="F160" s="21"/>
      <c r="G160" s="21"/>
      <c r="H160" s="26"/>
      <c r="I160" s="21"/>
    </row>
    <row r="161" spans="1:14">
      <c r="N161" s="1" t="e">
        <f>INDEX($O$28:$O$42,SMALL(IF(#REF!=R28:R42,ROW(O28:O52)-27,""),ROW()-133))</f>
        <v>#REF!</v>
      </c>
    </row>
    <row r="162" spans="1:14" ht="63">
      <c r="A162" s="227" t="s">
        <v>19</v>
      </c>
      <c r="B162" s="227"/>
      <c r="C162" s="227"/>
      <c r="D162" s="227"/>
      <c r="E162" s="227"/>
      <c r="F162" s="227" t="s">
        <v>20</v>
      </c>
      <c r="G162" s="227"/>
      <c r="H162" s="20" t="s">
        <v>57</v>
      </c>
      <c r="I162" s="227" t="s">
        <v>21</v>
      </c>
      <c r="J162" s="227"/>
    </row>
    <row r="163" spans="1:14" ht="29.25" customHeight="1">
      <c r="A163" s="221" t="str">
        <f t="shared" ref="A163:A168" si="14">IF(N163&gt;0,N163,0)</f>
        <v>Техническое обслуживание охранной сигнализации.</v>
      </c>
      <c r="B163" s="221"/>
      <c r="C163" s="221"/>
      <c r="D163" s="221"/>
      <c r="E163" s="221"/>
      <c r="F163" s="222">
        <f t="shared" ref="F163:F168" si="15">IF(ISERROR(VLOOKUP(A163,$A$28:$J$72,6,FALSE)),0,VLOOKUP(A163,$A$28:$J$72,6,FALSE))</f>
        <v>24480</v>
      </c>
      <c r="G163" s="222"/>
      <c r="H163" s="24" t="str">
        <f t="shared" ref="H163:H187" si="16">VLOOKUP(A163,$A$28:$J$72,8,FALSE)</f>
        <v>ежемесячно</v>
      </c>
      <c r="I163" s="223">
        <f t="shared" ref="I163:I166" si="17">VLOOKUP(A163,$A$28:$J$72,9,FALSE)</f>
        <v>12</v>
      </c>
      <c r="J163" s="223"/>
      <c r="M163" s="22" t="s">
        <v>72</v>
      </c>
      <c r="N163" s="1" t="str">
        <f t="array" ref="N163:N197">INDEX($O$43:$O$77,SMALL(IF($M$163=R43:R77,ROW(O43:O77)-42,""),ROW()-162))</f>
        <v>Техническое обслуживание охранной сигнализации.</v>
      </c>
    </row>
    <row r="164" spans="1:14" ht="28.5" customHeight="1">
      <c r="A164" s="221" t="str">
        <f t="shared" si="14"/>
        <v>Техническое обслуживание системы видеонаблюдения.</v>
      </c>
      <c r="B164" s="221"/>
      <c r="C164" s="221"/>
      <c r="D164" s="221"/>
      <c r="E164" s="221"/>
      <c r="F164" s="222">
        <f t="shared" si="15"/>
        <v>58140</v>
      </c>
      <c r="G164" s="222"/>
      <c r="H164" s="24" t="str">
        <f t="shared" si="16"/>
        <v>ежемесячно</v>
      </c>
      <c r="I164" s="223">
        <f t="shared" si="17"/>
        <v>9</v>
      </c>
      <c r="J164" s="223"/>
      <c r="M164" s="22" t="s">
        <v>72</v>
      </c>
      <c r="N164" s="1" t="str">
        <v>Техническое обслуживание системы видеонаблюдения.</v>
      </c>
    </row>
    <row r="165" spans="1:14" ht="28.5" customHeight="1">
      <c r="A165" s="221" t="str">
        <f t="shared" si="14"/>
        <v>Механизированная уборка и вывоз снега с придомовой территории.</v>
      </c>
      <c r="B165" s="221"/>
      <c r="C165" s="221"/>
      <c r="D165" s="221"/>
      <c r="E165" s="221"/>
      <c r="F165" s="222">
        <f t="shared" si="15"/>
        <v>72428</v>
      </c>
      <c r="G165" s="222"/>
      <c r="H165" s="24" t="str">
        <f t="shared" si="16"/>
        <v>разово</v>
      </c>
      <c r="I165" s="223">
        <f t="shared" si="17"/>
        <v>1</v>
      </c>
      <c r="J165" s="223"/>
      <c r="M165" s="22" t="s">
        <v>72</v>
      </c>
      <c r="N165" s="1" t="str">
        <v>Механизированная уборка и вывоз снега с придомовой территории.</v>
      </c>
    </row>
    <row r="166" spans="1:14" ht="28.5" customHeight="1">
      <c r="A166" s="221" t="str">
        <f>IF(N166&gt;0,N166,0)</f>
        <v>Приобретение и замена светильников в подъезде (2 шт.).</v>
      </c>
      <c r="B166" s="221"/>
      <c r="C166" s="221"/>
      <c r="D166" s="221"/>
      <c r="E166" s="221"/>
      <c r="F166" s="222">
        <f t="shared" si="15"/>
        <v>3000</v>
      </c>
      <c r="G166" s="222"/>
      <c r="H166" s="24" t="str">
        <f t="shared" si="16"/>
        <v>разово</v>
      </c>
      <c r="I166" s="223">
        <f t="shared" si="17"/>
        <v>1</v>
      </c>
      <c r="J166" s="223"/>
      <c r="M166" s="22" t="s">
        <v>72</v>
      </c>
      <c r="N166" s="1" t="str">
        <v>Приобретение и замена светильников в подъезде (2 шт.).</v>
      </c>
    </row>
    <row r="167" spans="1:14" ht="28.5" customHeight="1">
      <c r="A167" s="221" t="str">
        <f t="shared" si="14"/>
        <v>Организация и проведение Масленицы.</v>
      </c>
      <c r="B167" s="221"/>
      <c r="C167" s="221"/>
      <c r="D167" s="221"/>
      <c r="E167" s="221"/>
      <c r="F167" s="222">
        <f t="shared" si="15"/>
        <v>3286</v>
      </c>
      <c r="G167" s="222"/>
      <c r="H167" s="24" t="str">
        <f t="shared" si="16"/>
        <v>разово</v>
      </c>
      <c r="I167" s="223">
        <f>VLOOKUP(A167,$A$28:$J$72,9,FALSE)</f>
        <v>1</v>
      </c>
      <c r="J167" s="223"/>
      <c r="M167" s="22" t="s">
        <v>72</v>
      </c>
      <c r="N167" s="1" t="str">
        <v>Организация и проведение Масленицы.</v>
      </c>
    </row>
    <row r="168" spans="1:14" ht="28.5" customHeight="1">
      <c r="A168" s="221" t="str">
        <f t="shared" si="14"/>
        <v>Замена контактора и кнопочного модуля "открывания дверей" в лифте 400 кг (2 подъезд).</v>
      </c>
      <c r="B168" s="221"/>
      <c r="C168" s="221"/>
      <c r="D168" s="221"/>
      <c r="E168" s="221"/>
      <c r="F168" s="222">
        <f t="shared" si="15"/>
        <v>3109</v>
      </c>
      <c r="G168" s="222"/>
      <c r="H168" s="24" t="str">
        <f t="shared" si="16"/>
        <v>разово</v>
      </c>
      <c r="I168" s="223">
        <f>VLOOKUP(A168,$A$28:$J$72,9,FALSE)</f>
        <v>1</v>
      </c>
      <c r="J168" s="223"/>
      <c r="M168" s="22" t="s">
        <v>72</v>
      </c>
      <c r="N168" s="1" t="str">
        <v>Замена контактора и кнопочного модуля "открывания дверей" в лифте 400 кг (2 подъезд).</v>
      </c>
    </row>
    <row r="169" spans="1:14" ht="28.5" customHeight="1">
      <c r="A169" s="221" t="str">
        <f t="shared" ref="A169:A192" si="18">IF(N169&gt;0,N169,0)</f>
        <v>Замена светильников (над подъездом №2 лестница).</v>
      </c>
      <c r="B169" s="221"/>
      <c r="C169" s="221"/>
      <c r="D169" s="221"/>
      <c r="E169" s="221"/>
      <c r="F169" s="222">
        <f t="shared" ref="F169:F187" si="19">IF(ISERROR(VLOOKUP(A169,$A$28:$J$72,6,FALSE)),0,VLOOKUP(A169,$A$28:$J$72,6,FALSE))</f>
        <v>3200</v>
      </c>
      <c r="G169" s="222"/>
      <c r="H169" s="29" t="str">
        <f t="shared" si="16"/>
        <v>разово</v>
      </c>
      <c r="I169" s="223">
        <f t="shared" ref="I169:I187" si="20">VLOOKUP(A169,$A$28:$J$72,9,FALSE)</f>
        <v>1</v>
      </c>
      <c r="J169" s="223"/>
      <c r="M169" s="22" t="s">
        <v>72</v>
      </c>
      <c r="N169" s="1" t="str">
        <v>Замена светильников (над подъездом №2 лестница).</v>
      </c>
    </row>
    <row r="170" spans="1:14" ht="28.5" customHeight="1">
      <c r="A170" s="221" t="str">
        <f t="shared" si="18"/>
        <v>Дополнительная уборка мест общего пользования.</v>
      </c>
      <c r="B170" s="221"/>
      <c r="C170" s="221"/>
      <c r="D170" s="221"/>
      <c r="E170" s="221"/>
      <c r="F170" s="222">
        <f t="shared" si="19"/>
        <v>1800</v>
      </c>
      <c r="G170" s="222"/>
      <c r="H170" s="29" t="str">
        <f t="shared" si="16"/>
        <v>разово</v>
      </c>
      <c r="I170" s="223">
        <f t="shared" si="20"/>
        <v>1</v>
      </c>
      <c r="J170" s="223"/>
      <c r="M170" s="22" t="s">
        <v>72</v>
      </c>
      <c r="N170" s="1" t="str">
        <v>Дополнительная уборка мест общего пользования.</v>
      </c>
    </row>
    <row r="171" spans="1:14" ht="28.5" customHeight="1">
      <c r="A171" s="221" t="str">
        <f t="shared" si="18"/>
        <v>Приобретение и замена светильников (2 подъезд, возле кв. 228).</v>
      </c>
      <c r="B171" s="221"/>
      <c r="C171" s="221"/>
      <c r="D171" s="221"/>
      <c r="E171" s="221"/>
      <c r="F171" s="222">
        <f t="shared" si="19"/>
        <v>1600</v>
      </c>
      <c r="G171" s="222"/>
      <c r="H171" s="29" t="str">
        <f t="shared" si="16"/>
        <v>разово</v>
      </c>
      <c r="I171" s="223">
        <f t="shared" si="20"/>
        <v>1</v>
      </c>
      <c r="J171" s="223"/>
      <c r="M171" s="22" t="s">
        <v>72</v>
      </c>
      <c r="N171" s="1" t="str">
        <v>Приобретение и замена светильников (2 подъезд, возле кв. 228).</v>
      </c>
    </row>
    <row r="172" spans="1:14" ht="28.5" customHeight="1">
      <c r="A172" s="221" t="str">
        <f t="shared" si="18"/>
        <v>Благоустройство придомовой территории (приобретение рассады).</v>
      </c>
      <c r="B172" s="221"/>
      <c r="C172" s="221"/>
      <c r="D172" s="221"/>
      <c r="E172" s="221"/>
      <c r="F172" s="222">
        <f t="shared" si="19"/>
        <v>10100</v>
      </c>
      <c r="G172" s="222"/>
      <c r="H172" s="29" t="str">
        <f t="shared" si="16"/>
        <v>разово</v>
      </c>
      <c r="I172" s="223">
        <f t="shared" si="20"/>
        <v>1</v>
      </c>
      <c r="J172" s="223"/>
      <c r="M172" s="22" t="s">
        <v>72</v>
      </c>
      <c r="N172" s="1" t="str">
        <v>Благоустройство придомовой территории (приобретение рассады).</v>
      </c>
    </row>
    <row r="173" spans="1:14" ht="28.5" customHeight="1">
      <c r="A173" s="221" t="str">
        <f t="shared" si="18"/>
        <v>Благоустройство придомовой территории (завоз песка).</v>
      </c>
      <c r="B173" s="221"/>
      <c r="C173" s="221"/>
      <c r="D173" s="221"/>
      <c r="E173" s="221"/>
      <c r="F173" s="222">
        <f t="shared" si="19"/>
        <v>929</v>
      </c>
      <c r="G173" s="222"/>
      <c r="H173" s="29" t="str">
        <f t="shared" si="16"/>
        <v>разово</v>
      </c>
      <c r="I173" s="223">
        <f t="shared" si="20"/>
        <v>1</v>
      </c>
      <c r="J173" s="223"/>
      <c r="M173" s="22" t="s">
        <v>72</v>
      </c>
      <c r="N173" s="1" t="str">
        <v>Благоустройство придомовой территории (завоз песка).</v>
      </c>
    </row>
    <row r="174" spans="1:14" ht="28.5" customHeight="1">
      <c r="A174" s="221" t="str">
        <f t="shared" si="18"/>
        <v>Благоустройство придомовой территории (разметка парковочных мест).</v>
      </c>
      <c r="B174" s="221"/>
      <c r="C174" s="221"/>
      <c r="D174" s="221"/>
      <c r="E174" s="221"/>
      <c r="F174" s="222">
        <f t="shared" si="19"/>
        <v>4745</v>
      </c>
      <c r="G174" s="222"/>
      <c r="H174" s="29" t="str">
        <f t="shared" si="16"/>
        <v>разово</v>
      </c>
      <c r="I174" s="223">
        <f t="shared" si="20"/>
        <v>1</v>
      </c>
      <c r="J174" s="223"/>
      <c r="M174" s="22" t="s">
        <v>72</v>
      </c>
      <c r="N174" s="1" t="str">
        <v>Благоустройство придомовой территории (разметка парковочных мест).</v>
      </c>
    </row>
    <row r="175" spans="1:14" ht="28.5" customHeight="1">
      <c r="A175" s="221" t="str">
        <f t="shared" si="18"/>
        <v>Приобретение кабеля (витая пара) камеры видеонаблюдения для замены в шахте лифта (п.2).</v>
      </c>
      <c r="B175" s="221"/>
      <c r="C175" s="221"/>
      <c r="D175" s="221"/>
      <c r="E175" s="221"/>
      <c r="F175" s="222">
        <f t="shared" si="19"/>
        <v>2800</v>
      </c>
      <c r="G175" s="222"/>
      <c r="H175" s="29" t="str">
        <f t="shared" si="16"/>
        <v>разово</v>
      </c>
      <c r="I175" s="223">
        <f t="shared" si="20"/>
        <v>1</v>
      </c>
      <c r="J175" s="223"/>
      <c r="M175" s="22" t="s">
        <v>72</v>
      </c>
      <c r="N175" s="1" t="str">
        <v>Приобретение кабеля (витая пара) камеры видеонаблюдения для замены в шахте лифта (п.2).</v>
      </c>
    </row>
    <row r="176" spans="1:14" ht="28.5" customHeight="1">
      <c r="A176" s="221" t="str">
        <f t="shared" si="18"/>
        <v>Замена светильника в подъезде ( п.2, 5 этаж).</v>
      </c>
      <c r="B176" s="221"/>
      <c r="C176" s="221"/>
      <c r="D176" s="221"/>
      <c r="E176" s="221"/>
      <c r="F176" s="222">
        <f t="shared" si="19"/>
        <v>1300</v>
      </c>
      <c r="G176" s="222"/>
      <c r="H176" s="29" t="str">
        <f t="shared" si="16"/>
        <v>разово</v>
      </c>
      <c r="I176" s="223">
        <f t="shared" si="20"/>
        <v>1</v>
      </c>
      <c r="J176" s="223"/>
      <c r="M176" s="22" t="s">
        <v>72</v>
      </c>
      <c r="N176" s="1" t="str">
        <v>Замена светильника в подъезде ( п.2, 5 этаж).</v>
      </c>
    </row>
    <row r="177" spans="1:14" ht="28.5" customHeight="1">
      <c r="A177" s="221" t="str">
        <f t="shared" si="18"/>
        <v>Сварочные работы на системе ГВС в подвале подъезда №2.</v>
      </c>
      <c r="B177" s="221"/>
      <c r="C177" s="221"/>
      <c r="D177" s="221"/>
      <c r="E177" s="221"/>
      <c r="F177" s="222">
        <f t="shared" si="19"/>
        <v>3600</v>
      </c>
      <c r="G177" s="222"/>
      <c r="H177" s="29" t="str">
        <f t="shared" si="16"/>
        <v>разово</v>
      </c>
      <c r="I177" s="223">
        <f t="shared" si="20"/>
        <v>1</v>
      </c>
      <c r="J177" s="223"/>
      <c r="M177" s="22" t="s">
        <v>72</v>
      </c>
      <c r="N177" s="1" t="str">
        <v>Сварочные работы на системе ГВС в подвале подъезда №2.</v>
      </c>
    </row>
    <row r="178" spans="1:14" ht="28.5" customHeight="1">
      <c r="A178" s="221" t="str">
        <f t="shared" si="18"/>
        <v>Приобретение и замена манометров в ИТП (3 шт.).</v>
      </c>
      <c r="B178" s="221"/>
      <c r="C178" s="221"/>
      <c r="D178" s="221"/>
      <c r="E178" s="221"/>
      <c r="F178" s="222">
        <f t="shared" si="19"/>
        <v>1311</v>
      </c>
      <c r="G178" s="222"/>
      <c r="H178" s="29" t="str">
        <f t="shared" si="16"/>
        <v>разово</v>
      </c>
      <c r="I178" s="223">
        <f t="shared" si="20"/>
        <v>1</v>
      </c>
      <c r="J178" s="223"/>
      <c r="M178" s="22" t="s">
        <v>72</v>
      </c>
      <c r="N178" s="1" t="str">
        <v>Приобретение и замена манометров в ИТП (3 шт.).</v>
      </c>
    </row>
    <row r="179" spans="1:14" ht="28.5" customHeight="1">
      <c r="A179" s="221" t="str">
        <f t="shared" si="18"/>
        <v>Приобретение шланга для полива газона (50м.).</v>
      </c>
      <c r="B179" s="221"/>
      <c r="C179" s="221"/>
      <c r="D179" s="221"/>
      <c r="E179" s="221"/>
      <c r="F179" s="222">
        <f t="shared" si="19"/>
        <v>1745</v>
      </c>
      <c r="G179" s="222"/>
      <c r="H179" s="29" t="str">
        <f t="shared" si="16"/>
        <v>разово</v>
      </c>
      <c r="I179" s="223">
        <f t="shared" si="20"/>
        <v>1</v>
      </c>
      <c r="J179" s="223"/>
      <c r="M179" s="22" t="s">
        <v>72</v>
      </c>
      <c r="N179" s="1" t="str">
        <v>Приобретение шланга для полива газона (50м.).</v>
      </c>
    </row>
    <row r="180" spans="1:14" ht="28.5" customHeight="1">
      <c r="A180" s="221" t="str">
        <f t="shared" si="18"/>
        <v>Замена светильников (над подъездом №2).</v>
      </c>
      <c r="B180" s="221"/>
      <c r="C180" s="221"/>
      <c r="D180" s="221"/>
      <c r="E180" s="221"/>
      <c r="F180" s="222">
        <f t="shared" si="19"/>
        <v>1500</v>
      </c>
      <c r="G180" s="222"/>
      <c r="H180" s="29" t="str">
        <f t="shared" si="16"/>
        <v>разово</v>
      </c>
      <c r="I180" s="223">
        <f t="shared" si="20"/>
        <v>1</v>
      </c>
      <c r="J180" s="223"/>
      <c r="M180" s="22" t="s">
        <v>72</v>
      </c>
      <c r="N180" s="1" t="str">
        <v>Замена светильников (над подъездом №2).</v>
      </c>
    </row>
    <row r="181" spans="1:14" ht="28.5" customHeight="1">
      <c r="A181" s="221" t="str">
        <f t="shared" si="18"/>
        <v>Приобретение и замена светильников в коридоре и на лестнице (1 подъезд, 3 этаж, 2 шт.).</v>
      </c>
      <c r="B181" s="221"/>
      <c r="C181" s="221"/>
      <c r="D181" s="221"/>
      <c r="E181" s="221"/>
      <c r="F181" s="222">
        <f t="shared" si="19"/>
        <v>3400</v>
      </c>
      <c r="G181" s="222"/>
      <c r="H181" s="29" t="str">
        <f t="shared" si="16"/>
        <v>разово</v>
      </c>
      <c r="I181" s="223">
        <f t="shared" si="20"/>
        <v>1</v>
      </c>
      <c r="J181" s="223"/>
      <c r="M181" s="22" t="s">
        <v>72</v>
      </c>
      <c r="N181" s="1" t="str">
        <v>Приобретение и замена светильников в коридоре и на лестнице (1 подъезд, 3 этаж, 2 шт.).</v>
      </c>
    </row>
    <row r="182" spans="1:14" ht="28.5" customHeight="1">
      <c r="A182" s="221" t="str">
        <f t="shared" si="18"/>
        <v>Сварочные работы на системе ГВС (кв. №317).</v>
      </c>
      <c r="B182" s="221"/>
      <c r="C182" s="221"/>
      <c r="D182" s="221"/>
      <c r="E182" s="221"/>
      <c r="F182" s="222">
        <f t="shared" si="19"/>
        <v>3600</v>
      </c>
      <c r="G182" s="222"/>
      <c r="H182" s="29" t="str">
        <f t="shared" si="16"/>
        <v>разово</v>
      </c>
      <c r="I182" s="223">
        <f t="shared" si="20"/>
        <v>1</v>
      </c>
      <c r="J182" s="223"/>
      <c r="M182" s="22" t="s">
        <v>72</v>
      </c>
      <c r="N182" s="1" t="str">
        <v>Сварочные работы на системе ГВС (кв. №317).</v>
      </c>
    </row>
    <row r="183" spans="1:14" ht="28.5" customHeight="1">
      <c r="A183" s="221" t="str">
        <f t="shared" si="18"/>
        <v>Сварочные работы на системе отопления (кв. №330).</v>
      </c>
      <c r="B183" s="221"/>
      <c r="C183" s="221"/>
      <c r="D183" s="221"/>
      <c r="E183" s="221"/>
      <c r="F183" s="222">
        <f t="shared" si="19"/>
        <v>4800</v>
      </c>
      <c r="G183" s="222"/>
      <c r="H183" s="29" t="str">
        <f t="shared" si="16"/>
        <v>разово</v>
      </c>
      <c r="I183" s="223">
        <f t="shared" si="20"/>
        <v>1</v>
      </c>
      <c r="J183" s="223"/>
      <c r="M183" s="22" t="s">
        <v>72</v>
      </c>
      <c r="N183" s="1" t="str">
        <v>Сварочные работы на системе отопления (кв. №330).</v>
      </c>
    </row>
    <row r="184" spans="1:14" ht="28.5" customHeight="1">
      <c r="A184" s="221" t="str">
        <f t="shared" si="18"/>
        <v>Сварочные работы на системе отопления (кв. №395).</v>
      </c>
      <c r="B184" s="221"/>
      <c r="C184" s="221"/>
      <c r="D184" s="221"/>
      <c r="E184" s="221"/>
      <c r="F184" s="222">
        <f t="shared" si="19"/>
        <v>5400</v>
      </c>
      <c r="G184" s="222"/>
      <c r="H184" s="29" t="str">
        <f t="shared" si="16"/>
        <v>разово</v>
      </c>
      <c r="I184" s="223">
        <f t="shared" si="20"/>
        <v>1</v>
      </c>
      <c r="J184" s="223"/>
      <c r="M184" s="22" t="s">
        <v>72</v>
      </c>
      <c r="N184" s="1" t="str">
        <v>Сварочные работы на системе отопления (кв. №395).</v>
      </c>
    </row>
    <row r="185" spans="1:14" ht="28.5" customHeight="1">
      <c r="A185" s="221" t="str">
        <f t="shared" si="18"/>
        <v>Сварочные работы на системе отопления (кв. №377).</v>
      </c>
      <c r="B185" s="221"/>
      <c r="C185" s="221"/>
      <c r="D185" s="221"/>
      <c r="E185" s="221"/>
      <c r="F185" s="222">
        <f t="shared" si="19"/>
        <v>5400</v>
      </c>
      <c r="G185" s="222"/>
      <c r="H185" s="29" t="str">
        <f t="shared" si="16"/>
        <v>разово</v>
      </c>
      <c r="I185" s="223">
        <f t="shared" si="20"/>
        <v>1</v>
      </c>
      <c r="J185" s="223"/>
      <c r="M185" s="22" t="s">
        <v>72</v>
      </c>
      <c r="N185" s="1" t="str">
        <v>Сварочные работы на системе отопления (кв. №377).</v>
      </c>
    </row>
    <row r="186" spans="1:14" ht="28.5" customHeight="1">
      <c r="A186" s="221" t="str">
        <f t="shared" si="18"/>
        <v>Замене компенсаторов на стояке отопления (кв. 377, 3 шт.).</v>
      </c>
      <c r="B186" s="221"/>
      <c r="C186" s="221"/>
      <c r="D186" s="221"/>
      <c r="E186" s="221"/>
      <c r="F186" s="222">
        <f t="shared" si="19"/>
        <v>12000</v>
      </c>
      <c r="G186" s="222"/>
      <c r="H186" s="29" t="str">
        <f t="shared" si="16"/>
        <v>разово</v>
      </c>
      <c r="I186" s="223">
        <f t="shared" si="20"/>
        <v>1</v>
      </c>
      <c r="J186" s="223"/>
      <c r="M186" s="22" t="s">
        <v>72</v>
      </c>
      <c r="N186" s="1" t="str">
        <v>Замене компенсаторов на стояке отопления (кв. 377, 3 шт.).</v>
      </c>
    </row>
    <row r="187" spans="1:14" ht="28.5" customHeight="1">
      <c r="A187" s="221" t="str">
        <f t="shared" si="18"/>
        <v>Замена светильника в коридоре (возле кв.360)</v>
      </c>
      <c r="B187" s="221"/>
      <c r="C187" s="221"/>
      <c r="D187" s="221"/>
      <c r="E187" s="221"/>
      <c r="F187" s="222">
        <f t="shared" si="19"/>
        <v>1400</v>
      </c>
      <c r="G187" s="222"/>
      <c r="H187" s="29" t="str">
        <f t="shared" si="16"/>
        <v>разово</v>
      </c>
      <c r="I187" s="223">
        <f t="shared" si="20"/>
        <v>1</v>
      </c>
      <c r="J187" s="223"/>
      <c r="M187" s="22" t="s">
        <v>72</v>
      </c>
      <c r="N187" s="1" t="str">
        <v>Замена светильника в коридоре (возле кв.360)</v>
      </c>
    </row>
    <row r="188" spans="1:14" ht="28.5" customHeight="1">
      <c r="A188" s="221" t="str">
        <f t="shared" si="18"/>
        <v>Приобретение и замена почтовых ящиков.</v>
      </c>
      <c r="B188" s="221"/>
      <c r="C188" s="221"/>
      <c r="D188" s="221"/>
      <c r="E188" s="221"/>
      <c r="F188" s="222">
        <f>IF(ISERROR(VLOOKUP(A188,$A$28:$J$77,6,FALSE)),0,VLOOKUP(A188,$A$28:$J$77,6,FALSE))</f>
        <v>354304</v>
      </c>
      <c r="G188" s="222"/>
      <c r="H188" s="29" t="str">
        <f>VLOOKUP(A188,$A$28:$J$77,8,FALSE)</f>
        <v>разово</v>
      </c>
      <c r="I188" s="223">
        <f>VLOOKUP(A188,$A$28:$J$77,9,FALSE)</f>
        <v>1</v>
      </c>
      <c r="J188" s="223"/>
      <c r="M188" s="22" t="s">
        <v>72</v>
      </c>
      <c r="N188" s="1" t="str">
        <v>Приобретение и замена почтовых ящиков.</v>
      </c>
    </row>
    <row r="189" spans="1:14" ht="28.5" customHeight="1">
      <c r="A189" s="221" t="str">
        <f t="shared" si="18"/>
        <v>Доставка почтовых ящиков.</v>
      </c>
      <c r="B189" s="221"/>
      <c r="C189" s="221"/>
      <c r="D189" s="221"/>
      <c r="E189" s="221"/>
      <c r="F189" s="222">
        <f t="shared" ref="F189:F192" si="21">IF(ISERROR(VLOOKUP(A189,$A$28:$J$77,6,FALSE)),0,VLOOKUP(A189,$A$28:$J$77,6,FALSE))</f>
        <v>7400</v>
      </c>
      <c r="G189" s="222"/>
      <c r="H189" s="216" t="str">
        <f t="shared" ref="H189:H197" si="22">VLOOKUP(A189,$A$28:$J$77,8,FALSE)</f>
        <v>разово</v>
      </c>
      <c r="I189" s="223">
        <f t="shared" ref="I189:I192" si="23">VLOOKUP(A189,$A$28:$J$77,9,FALSE)</f>
        <v>1</v>
      </c>
      <c r="J189" s="223"/>
      <c r="M189" s="22" t="s">
        <v>72</v>
      </c>
      <c r="N189" s="1" t="str">
        <v>Доставка почтовых ящиков.</v>
      </c>
    </row>
    <row r="190" spans="1:14" ht="28.5" customHeight="1">
      <c r="A190" s="221" t="str">
        <f t="shared" si="18"/>
        <v>Замена светильников на лестнице и тамбурах.</v>
      </c>
      <c r="B190" s="221"/>
      <c r="C190" s="221"/>
      <c r="D190" s="221"/>
      <c r="E190" s="221"/>
      <c r="F190" s="222">
        <f t="shared" si="21"/>
        <v>14400</v>
      </c>
      <c r="G190" s="222"/>
      <c r="H190" s="216" t="str">
        <f t="shared" si="22"/>
        <v>разово</v>
      </c>
      <c r="I190" s="223">
        <f t="shared" si="23"/>
        <v>1</v>
      </c>
      <c r="J190" s="223"/>
      <c r="M190" s="22" t="s">
        <v>72</v>
      </c>
      <c r="N190" s="1" t="str">
        <v>Замена светильников на лестнице и тамбурах.</v>
      </c>
    </row>
    <row r="191" spans="1:14" ht="28.5" customHeight="1">
      <c r="A191" s="221" t="str">
        <f>IF(N191&gt;0,N191,0)</f>
        <v>Сварочные работы на системе отопления (кв. 415).</v>
      </c>
      <c r="B191" s="221"/>
      <c r="C191" s="221"/>
      <c r="D191" s="221"/>
      <c r="E191" s="221"/>
      <c r="F191" s="222">
        <f t="shared" si="21"/>
        <v>3600</v>
      </c>
      <c r="G191" s="222"/>
      <c r="H191" s="216" t="str">
        <f t="shared" si="22"/>
        <v>разово</v>
      </c>
      <c r="I191" s="223">
        <f t="shared" si="23"/>
        <v>1</v>
      </c>
      <c r="J191" s="223"/>
      <c r="M191" s="22" t="s">
        <v>72</v>
      </c>
      <c r="N191" s="1" t="str">
        <v>Сварочные работы на системе отопления (кв. 415).</v>
      </c>
    </row>
    <row r="192" spans="1:14" ht="28.5" customHeight="1">
      <c r="A192" s="221" t="str">
        <f t="shared" si="18"/>
        <v>Приобретение дверных ручек (10 шт.) и врезных защелок (4 шт.).</v>
      </c>
      <c r="B192" s="221"/>
      <c r="C192" s="221"/>
      <c r="D192" s="221"/>
      <c r="E192" s="221"/>
      <c r="F192" s="222">
        <f t="shared" si="21"/>
        <v>11486</v>
      </c>
      <c r="G192" s="222"/>
      <c r="H192" s="216" t="str">
        <f t="shared" si="22"/>
        <v>разово</v>
      </c>
      <c r="I192" s="223">
        <f t="shared" si="23"/>
        <v>1</v>
      </c>
      <c r="J192" s="223"/>
      <c r="M192" s="22" t="s">
        <v>72</v>
      </c>
      <c r="N192" s="1" t="str">
        <v>Приобретение дверных ручек (10 шт.) и врезных защелок (4 шт.).</v>
      </c>
    </row>
    <row r="193" spans="1:14" ht="28.5" customHeight="1">
      <c r="A193" s="221" t="str">
        <f t="shared" ref="A193:A197" si="24">IF(N193&gt;0,N193,0)</f>
        <v>Приобретение сосны ствольной "Альпийская" 3 метра.</v>
      </c>
      <c r="B193" s="221"/>
      <c r="C193" s="221"/>
      <c r="D193" s="221"/>
      <c r="E193" s="221"/>
      <c r="F193" s="222">
        <f t="shared" ref="F193:F197" si="25">IF(ISERROR(VLOOKUP(A193,$A$28:$J$77,6,FALSE)),0,VLOOKUP(A193,$A$28:$J$77,6,FALSE))</f>
        <v>13436</v>
      </c>
      <c r="G193" s="222"/>
      <c r="H193" s="216" t="str">
        <f t="shared" si="22"/>
        <v>разово</v>
      </c>
      <c r="I193" s="223">
        <f t="shared" ref="I193:I197" si="26">VLOOKUP(A193,$A$28:$J$77,9,FALSE)</f>
        <v>1</v>
      </c>
      <c r="J193" s="223"/>
      <c r="M193" s="22" t="s">
        <v>72</v>
      </c>
      <c r="N193" s="1" t="str">
        <v>Приобретение сосны ствольной "Альпийская" 3 метра.</v>
      </c>
    </row>
    <row r="194" spans="1:14" ht="28.5" customHeight="1">
      <c r="A194" s="221" t="str">
        <f t="shared" si="24"/>
        <v>Проведение новогоднего праздника.</v>
      </c>
      <c r="B194" s="221"/>
      <c r="C194" s="221"/>
      <c r="D194" s="221"/>
      <c r="E194" s="221"/>
      <c r="F194" s="222">
        <f t="shared" si="25"/>
        <v>7144</v>
      </c>
      <c r="G194" s="222"/>
      <c r="H194" s="216" t="str">
        <f t="shared" si="22"/>
        <v>разово</v>
      </c>
      <c r="I194" s="223">
        <f t="shared" si="26"/>
        <v>1</v>
      </c>
      <c r="J194" s="223"/>
      <c r="M194" s="22" t="s">
        <v>72</v>
      </c>
      <c r="N194" s="1" t="str">
        <v>Проведение новогоднего праздника.</v>
      </c>
    </row>
    <row r="195" spans="1:14" ht="28.5" customHeight="1">
      <c r="A195" s="221" t="str">
        <f t="shared" si="24"/>
        <v>Замена компенсатора на стояке отопления (кв.372).</v>
      </c>
      <c r="B195" s="221"/>
      <c r="C195" s="221"/>
      <c r="D195" s="221"/>
      <c r="E195" s="221"/>
      <c r="F195" s="222">
        <f t="shared" si="25"/>
        <v>4000</v>
      </c>
      <c r="G195" s="222"/>
      <c r="H195" s="216" t="str">
        <f t="shared" si="22"/>
        <v>разово</v>
      </c>
      <c r="I195" s="223">
        <f t="shared" si="26"/>
        <v>1</v>
      </c>
      <c r="J195" s="223"/>
      <c r="M195" s="22" t="s">
        <v>72</v>
      </c>
      <c r="N195" s="1" t="str">
        <v>Замена компенсатора на стояке отопления (кв.372).</v>
      </c>
    </row>
    <row r="196" spans="1:14" ht="28.5" customHeight="1">
      <c r="A196" s="221" t="str">
        <f t="shared" si="24"/>
        <v>Замена компенсатора на стояке отопления (2 шт., кв.273).</v>
      </c>
      <c r="B196" s="221"/>
      <c r="C196" s="221"/>
      <c r="D196" s="221"/>
      <c r="E196" s="221"/>
      <c r="F196" s="222">
        <f t="shared" si="25"/>
        <v>8000</v>
      </c>
      <c r="G196" s="222"/>
      <c r="H196" s="216" t="str">
        <f t="shared" si="22"/>
        <v>разово</v>
      </c>
      <c r="I196" s="223">
        <f t="shared" si="26"/>
        <v>1</v>
      </c>
      <c r="J196" s="223"/>
      <c r="M196" s="22" t="s">
        <v>72</v>
      </c>
      <c r="N196" s="1" t="str">
        <v>Замена компенсатора на стояке отопления (2 шт., кв.273).</v>
      </c>
    </row>
    <row r="197" spans="1:14" ht="28.5" customHeight="1">
      <c r="A197" s="221" t="str">
        <f t="shared" si="24"/>
        <v>Приобретение торцевого уплотнения на насос системы ХВС.</v>
      </c>
      <c r="B197" s="221"/>
      <c r="C197" s="221"/>
      <c r="D197" s="221"/>
      <c r="E197" s="221"/>
      <c r="F197" s="222">
        <f t="shared" si="25"/>
        <v>15780</v>
      </c>
      <c r="G197" s="222"/>
      <c r="H197" s="216" t="str">
        <f t="shared" si="22"/>
        <v>разово</v>
      </c>
      <c r="I197" s="223">
        <f t="shared" si="26"/>
        <v>1</v>
      </c>
      <c r="J197" s="223"/>
      <c r="M197" s="22" t="s">
        <v>72</v>
      </c>
      <c r="N197" s="1" t="str">
        <v>Приобретение торцевого уплотнения на насос системы ХВС.</v>
      </c>
    </row>
    <row r="198" spans="1:14" ht="11.25" customHeight="1">
      <c r="A198" s="218"/>
      <c r="B198" s="218"/>
      <c r="C198" s="218"/>
      <c r="D198" s="218"/>
      <c r="E198" s="218"/>
      <c r="F198" s="219"/>
      <c r="G198" s="219"/>
      <c r="H198" s="219"/>
      <c r="I198" s="220"/>
      <c r="J198" s="220"/>
      <c r="M198" s="22"/>
    </row>
    <row r="199" spans="1:14" ht="13.5" customHeight="1">
      <c r="A199" s="103" t="s">
        <v>173</v>
      </c>
    </row>
    <row r="200" spans="1:14" ht="13.5" customHeight="1">
      <c r="A200" s="103" t="s">
        <v>173</v>
      </c>
    </row>
    <row r="201" spans="1:14" ht="36.75" customHeight="1">
      <c r="A201" s="224" t="s">
        <v>196</v>
      </c>
      <c r="B201" s="224"/>
      <c r="C201" s="224"/>
      <c r="D201" s="224"/>
      <c r="E201" s="27">
        <f>SUM(F163:G197)</f>
        <v>674623</v>
      </c>
    </row>
    <row r="202" spans="1:14" ht="51.75" customHeight="1">
      <c r="A202" s="224" t="s">
        <v>197</v>
      </c>
      <c r="B202" s="224"/>
      <c r="C202" s="224"/>
      <c r="D202" s="224"/>
      <c r="E202" s="27">
        <f>E201+E159-E160</f>
        <v>-1085274.3</v>
      </c>
    </row>
    <row r="203" spans="1:14">
      <c r="A203" s="103" t="s">
        <v>173</v>
      </c>
    </row>
    <row r="204" spans="1:14" ht="62.25" customHeight="1">
      <c r="A204" s="249" t="s">
        <v>198</v>
      </c>
      <c r="B204" s="249"/>
      <c r="C204" s="249"/>
      <c r="D204" s="249"/>
      <c r="E204" s="249"/>
      <c r="F204" s="249"/>
      <c r="G204" s="249"/>
      <c r="H204" s="249"/>
      <c r="I204" s="249"/>
      <c r="J204" s="249"/>
    </row>
    <row r="205" spans="1:14">
      <c r="A205" s="248" t="str">
        <f>ПТО!F12</f>
        <v xml:space="preserve">  -  поверка (замена) манометров и термометров</v>
      </c>
      <c r="B205" s="248"/>
      <c r="C205" s="248"/>
      <c r="D205" s="248"/>
      <c r="E205" s="248"/>
      <c r="F205" s="248"/>
      <c r="G205" s="248"/>
      <c r="H205" s="48">
        <f>ПТО!G12</f>
        <v>1200</v>
      </c>
      <c r="I205" s="49" t="s">
        <v>74</v>
      </c>
    </row>
    <row r="206" spans="1:14" ht="18.75" customHeight="1">
      <c r="A206" s="248" t="str">
        <f>ПТО!F13</f>
        <v xml:space="preserve">  -  техническое обслуживание охранной сигнализации</v>
      </c>
      <c r="B206" s="248"/>
      <c r="C206" s="248"/>
      <c r="D206" s="248"/>
      <c r="E206" s="248"/>
      <c r="F206" s="248"/>
      <c r="G206" s="248"/>
      <c r="H206" s="48">
        <f>ПТО!G13</f>
        <v>24500</v>
      </c>
      <c r="I206" s="49" t="s">
        <v>74</v>
      </c>
    </row>
    <row r="207" spans="1:14" ht="18.75" customHeight="1">
      <c r="A207" s="248" t="str">
        <f>ПТО!F14</f>
        <v xml:space="preserve">  -  установка доводчиков (10 шт.)</v>
      </c>
      <c r="B207" s="248"/>
      <c r="C207" s="248"/>
      <c r="D207" s="248"/>
      <c r="E207" s="248"/>
      <c r="F207" s="248"/>
      <c r="G207" s="248"/>
      <c r="H207" s="48">
        <f>ПТО!G14</f>
        <v>25000</v>
      </c>
      <c r="I207" s="49" t="s">
        <v>74</v>
      </c>
    </row>
    <row r="208" spans="1:14" ht="18.75" customHeight="1">
      <c r="A208" s="248" t="str">
        <f>ПТО!F15</f>
        <v xml:space="preserve">  -  установка ручек и замков на двери в местах общего пользования (15 шт.)</v>
      </c>
      <c r="B208" s="248"/>
      <c r="C208" s="248"/>
      <c r="D208" s="248"/>
      <c r="E208" s="248"/>
      <c r="F208" s="248"/>
      <c r="G208" s="248"/>
      <c r="H208" s="48">
        <f>ПТО!G15</f>
        <v>30000</v>
      </c>
      <c r="I208" s="49" t="s">
        <v>74</v>
      </c>
    </row>
    <row r="209" spans="1:9" ht="18.75" customHeight="1">
      <c r="A209" s="248" t="str">
        <f>ПТО!F16</f>
        <v xml:space="preserve">  -  ремонт подъездов </v>
      </c>
      <c r="B209" s="248"/>
      <c r="C209" s="248"/>
      <c r="D209" s="248"/>
      <c r="E209" s="248"/>
      <c r="F209" s="248"/>
      <c r="G209" s="248"/>
      <c r="H209" s="48">
        <f>ПТО!G16</f>
        <v>1500000</v>
      </c>
      <c r="I209" s="51" t="s">
        <v>74</v>
      </c>
    </row>
    <row r="210" spans="1:9" ht="18.75" customHeight="1">
      <c r="A210" s="248" t="str">
        <f>ПТО!F17</f>
        <v xml:space="preserve">  -  ремонт и покраска двери в лифт (1 подъезд)</v>
      </c>
      <c r="B210" s="248"/>
      <c r="C210" s="248"/>
      <c r="D210" s="248"/>
      <c r="E210" s="248"/>
      <c r="F210" s="248"/>
      <c r="G210" s="248"/>
      <c r="H210" s="48">
        <f>ПТО!G17</f>
        <v>30000</v>
      </c>
      <c r="I210" s="49" t="s">
        <v>74</v>
      </c>
    </row>
    <row r="211" spans="1:9">
      <c r="A211" s="248" t="str">
        <f>ПТО!F18</f>
        <v xml:space="preserve">  -  покраска ограждения на кровле</v>
      </c>
      <c r="B211" s="248"/>
      <c r="C211" s="248"/>
      <c r="D211" s="248"/>
      <c r="E211" s="248"/>
      <c r="F211" s="248"/>
      <c r="G211" s="248"/>
      <c r="H211" s="48">
        <f>ПТО!G18</f>
        <v>15000</v>
      </c>
      <c r="I211" s="49" t="s">
        <v>74</v>
      </c>
    </row>
    <row r="212" spans="1:9">
      <c r="A212" s="248" t="str">
        <f>ПТО!F19</f>
        <v xml:space="preserve">  -  покраска входных групп (1 и 2 подъезды)</v>
      </c>
      <c r="B212" s="248"/>
      <c r="C212" s="248"/>
      <c r="D212" s="248"/>
      <c r="E212" s="248"/>
      <c r="F212" s="248"/>
      <c r="G212" s="248"/>
      <c r="H212" s="48">
        <f>ПТО!G19</f>
        <v>40000</v>
      </c>
      <c r="I212" s="49" t="s">
        <v>74</v>
      </c>
    </row>
    <row r="213" spans="1:9">
      <c r="A213" s="248" t="str">
        <f>ПТО!F20</f>
        <v xml:space="preserve">  -  гидроизоляция балконов на 2 этаже (1 и 2 подъезды)</v>
      </c>
      <c r="B213" s="248"/>
      <c r="C213" s="248"/>
      <c r="D213" s="248"/>
      <c r="E213" s="248"/>
      <c r="F213" s="248"/>
      <c r="G213" s="248"/>
      <c r="H213" s="48">
        <f>ПТО!G20</f>
        <v>40000</v>
      </c>
      <c r="I213" s="49" t="s">
        <v>74</v>
      </c>
    </row>
    <row r="214" spans="1:9">
      <c r="A214" s="248" t="str">
        <f>ПТО!F21</f>
        <v xml:space="preserve">  -  механизированная уборка и вывоз снега с придомовой территории</v>
      </c>
      <c r="B214" s="248"/>
      <c r="C214" s="248"/>
      <c r="D214" s="248"/>
      <c r="E214" s="248"/>
      <c r="F214" s="248"/>
      <c r="G214" s="248"/>
      <c r="H214" s="48">
        <f>ПТО!G21</f>
        <v>75000</v>
      </c>
      <c r="I214" s="49" t="s">
        <v>74</v>
      </c>
    </row>
    <row r="215" spans="1:9" hidden="1">
      <c r="A215" s="248">
        <f>ПТО!F22</f>
        <v>0</v>
      </c>
      <c r="B215" s="248"/>
      <c r="C215" s="248"/>
      <c r="D215" s="248"/>
      <c r="E215" s="248"/>
      <c r="F215" s="248"/>
      <c r="G215" s="248"/>
      <c r="H215" s="48">
        <f>ПТО!G22</f>
        <v>0</v>
      </c>
      <c r="I215" s="49" t="s">
        <v>74</v>
      </c>
    </row>
    <row r="216" spans="1:9" hidden="1">
      <c r="A216" s="248">
        <f>ПТО!F23</f>
        <v>0</v>
      </c>
      <c r="B216" s="248"/>
      <c r="C216" s="248"/>
      <c r="D216" s="248"/>
      <c r="E216" s="248"/>
      <c r="F216" s="248"/>
      <c r="G216" s="248"/>
      <c r="H216" s="48">
        <f>ПТО!G23</f>
        <v>0</v>
      </c>
      <c r="I216" s="49" t="s">
        <v>74</v>
      </c>
    </row>
    <row r="217" spans="1:9" hidden="1">
      <c r="A217" s="248">
        <f>ПТО!F24</f>
        <v>0</v>
      </c>
      <c r="B217" s="248"/>
      <c r="C217" s="248"/>
      <c r="D217" s="248"/>
      <c r="E217" s="248"/>
      <c r="F217" s="248"/>
      <c r="G217" s="248"/>
      <c r="H217" s="48">
        <f>ПТО!G24</f>
        <v>0</v>
      </c>
      <c r="I217" s="49" t="s">
        <v>74</v>
      </c>
    </row>
    <row r="218" spans="1:9" hidden="1">
      <c r="A218" s="248">
        <f>ПТО!F25</f>
        <v>0</v>
      </c>
      <c r="B218" s="248"/>
      <c r="C218" s="248"/>
      <c r="D218" s="248"/>
      <c r="E218" s="248"/>
      <c r="F218" s="248"/>
      <c r="G218" s="248"/>
      <c r="H218" s="48">
        <f>ПТО!G25</f>
        <v>0</v>
      </c>
      <c r="I218" s="49" t="s">
        <v>74</v>
      </c>
    </row>
    <row r="219" spans="1:9" hidden="1">
      <c r="A219" s="248">
        <f>ПТО!F26</f>
        <v>0</v>
      </c>
      <c r="B219" s="248"/>
      <c r="C219" s="248"/>
      <c r="D219" s="248"/>
      <c r="E219" s="248"/>
      <c r="F219" s="248"/>
      <c r="G219" s="248"/>
      <c r="H219" s="48">
        <f>ПТО!G26</f>
        <v>0</v>
      </c>
      <c r="I219" s="49" t="s">
        <v>74</v>
      </c>
    </row>
    <row r="220" spans="1:9" hidden="1">
      <c r="A220" s="248">
        <f>ПТО!F27</f>
        <v>0</v>
      </c>
      <c r="B220" s="248"/>
      <c r="C220" s="248"/>
      <c r="D220" s="248"/>
      <c r="E220" s="248"/>
      <c r="F220" s="248"/>
      <c r="G220" s="248"/>
      <c r="H220" s="48">
        <f>ПТО!G27</f>
        <v>0</v>
      </c>
      <c r="I220" s="49" t="s">
        <v>74</v>
      </c>
    </row>
    <row r="221" spans="1:9" hidden="1">
      <c r="A221" s="248">
        <f>ПТО!F28</f>
        <v>0</v>
      </c>
      <c r="B221" s="248"/>
      <c r="C221" s="248"/>
      <c r="D221" s="248"/>
      <c r="E221" s="248"/>
      <c r="F221" s="248"/>
      <c r="G221" s="248"/>
      <c r="H221" s="48">
        <f>ПТО!G28</f>
        <v>0</v>
      </c>
      <c r="I221" s="49" t="s">
        <v>74</v>
      </c>
    </row>
    <row r="222" spans="1:9" hidden="1">
      <c r="A222" s="248">
        <f>ПТО!F29</f>
        <v>0</v>
      </c>
      <c r="B222" s="248"/>
      <c r="C222" s="248"/>
      <c r="D222" s="248"/>
      <c r="E222" s="248"/>
      <c r="F222" s="248"/>
      <c r="G222" s="248"/>
      <c r="H222" s="48">
        <f>ПТО!G29</f>
        <v>0</v>
      </c>
      <c r="I222" s="49" t="s">
        <v>74</v>
      </c>
    </row>
    <row r="223" spans="1:9" hidden="1">
      <c r="A223" s="248">
        <f>ПТО!F30</f>
        <v>0</v>
      </c>
      <c r="B223" s="248"/>
      <c r="C223" s="248"/>
      <c r="D223" s="248"/>
      <c r="E223" s="248"/>
      <c r="F223" s="248"/>
      <c r="G223" s="248"/>
      <c r="H223" s="48">
        <f>ПТО!G30</f>
        <v>0</v>
      </c>
      <c r="I223" s="49" t="s">
        <v>74</v>
      </c>
    </row>
    <row r="224" spans="1:9" hidden="1">
      <c r="A224" s="248">
        <f>ПТО!F31</f>
        <v>0</v>
      </c>
      <c r="B224" s="248"/>
      <c r="C224" s="248"/>
      <c r="D224" s="248"/>
      <c r="E224" s="248"/>
      <c r="F224" s="248"/>
      <c r="G224" s="248"/>
      <c r="H224" s="48">
        <f>ПТО!G31</f>
        <v>0</v>
      </c>
      <c r="I224" s="49" t="s">
        <v>74</v>
      </c>
    </row>
    <row r="225" spans="1:9">
      <c r="A225" s="52" t="s">
        <v>75</v>
      </c>
      <c r="B225" s="53"/>
      <c r="C225" s="53"/>
      <c r="D225" s="53"/>
      <c r="E225" s="53"/>
      <c r="F225" s="53"/>
      <c r="G225" s="53"/>
      <c r="H225" s="54">
        <f>SUM(H205:H224)</f>
        <v>1780700</v>
      </c>
      <c r="I225" s="55" t="s">
        <v>76</v>
      </c>
    </row>
  </sheetData>
  <sheetProtection algorithmName="SHA-512" hashValue="Mom7eN/6bkXd1KunrLod9ykirSOif0ikX4zHV+5WwDLqSD5ZYdg4ZS4fVFRkjRXcrkRgiHeESlyyCVKOksWiJQ==" saltValue="6XDtGcAtPqG9y9xw6B8zew==" spinCount="100000" sheet="1" formatColumns="0" formatRows="0" insertColumns="0" insertRows="0"/>
  <mergeCells count="390">
    <mergeCell ref="F197:G197"/>
    <mergeCell ref="I193:J193"/>
    <mergeCell ref="I194:J194"/>
    <mergeCell ref="I195:J195"/>
    <mergeCell ref="I196:J196"/>
    <mergeCell ref="I197:J197"/>
    <mergeCell ref="A193:E193"/>
    <mergeCell ref="A194:E194"/>
    <mergeCell ref="A195:E195"/>
    <mergeCell ref="A196:E196"/>
    <mergeCell ref="A197:E197"/>
    <mergeCell ref="I73:J73"/>
    <mergeCell ref="I74:J74"/>
    <mergeCell ref="I75:J75"/>
    <mergeCell ref="I76:J76"/>
    <mergeCell ref="I77:J77"/>
    <mergeCell ref="F193:G193"/>
    <mergeCell ref="F194:G194"/>
    <mergeCell ref="F195:G195"/>
    <mergeCell ref="F196:G196"/>
    <mergeCell ref="A143:I143"/>
    <mergeCell ref="A144:I144"/>
    <mergeCell ref="A145:I145"/>
    <mergeCell ref="A146:I146"/>
    <mergeCell ref="A188:E188"/>
    <mergeCell ref="A189:E189"/>
    <mergeCell ref="A190:E190"/>
    <mergeCell ref="A191:E191"/>
    <mergeCell ref="A192:E192"/>
    <mergeCell ref="I188:J188"/>
    <mergeCell ref="I189:J189"/>
    <mergeCell ref="I190:J190"/>
    <mergeCell ref="A136:I136"/>
    <mergeCell ref="A137:I137"/>
    <mergeCell ref="A138:I138"/>
    <mergeCell ref="A73:E73"/>
    <mergeCell ref="A74:E74"/>
    <mergeCell ref="A75:E75"/>
    <mergeCell ref="A76:E76"/>
    <mergeCell ref="A77:E77"/>
    <mergeCell ref="F73:G73"/>
    <mergeCell ref="F74:G74"/>
    <mergeCell ref="F75:G75"/>
    <mergeCell ref="F76:G76"/>
    <mergeCell ref="F77:G77"/>
    <mergeCell ref="A216:G216"/>
    <mergeCell ref="A217:G217"/>
    <mergeCell ref="A218:G218"/>
    <mergeCell ref="A219:G219"/>
    <mergeCell ref="A220:G220"/>
    <mergeCell ref="A221:G221"/>
    <mergeCell ref="A222:G222"/>
    <mergeCell ref="A223:G223"/>
    <mergeCell ref="A224:G224"/>
    <mergeCell ref="A211:G211"/>
    <mergeCell ref="A212:G212"/>
    <mergeCell ref="A213:G213"/>
    <mergeCell ref="A214:G214"/>
    <mergeCell ref="A215:G215"/>
    <mergeCell ref="A204:J204"/>
    <mergeCell ref="A205:G205"/>
    <mergeCell ref="A206:G206"/>
    <mergeCell ref="A207:G207"/>
    <mergeCell ref="A208:G208"/>
    <mergeCell ref="A209:G209"/>
    <mergeCell ref="A210:G210"/>
    <mergeCell ref="A139:C139"/>
    <mergeCell ref="D139:E139"/>
    <mergeCell ref="G139:J139"/>
    <mergeCell ref="A140:I140"/>
    <mergeCell ref="A141:I141"/>
    <mergeCell ref="A142:I142"/>
    <mergeCell ref="A123:C123"/>
    <mergeCell ref="D123:E123"/>
    <mergeCell ref="G123:J123"/>
    <mergeCell ref="A124:I124"/>
    <mergeCell ref="A125:I125"/>
    <mergeCell ref="A126:I126"/>
    <mergeCell ref="A127:I127"/>
    <mergeCell ref="A128:I128"/>
    <mergeCell ref="A129:I129"/>
    <mergeCell ref="A130:I130"/>
    <mergeCell ref="A131:C131"/>
    <mergeCell ref="D131:E131"/>
    <mergeCell ref="G131:J131"/>
    <mergeCell ref="A132:I132"/>
    <mergeCell ref="A133:I133"/>
    <mergeCell ref="A134:I134"/>
    <mergeCell ref="A135:I135"/>
    <mergeCell ref="A187:E187"/>
    <mergeCell ref="I187:J187"/>
    <mergeCell ref="A185:E185"/>
    <mergeCell ref="A186:E186"/>
    <mergeCell ref="I169:J169"/>
    <mergeCell ref="I170:J170"/>
    <mergeCell ref="I171:J171"/>
    <mergeCell ref="I172:J172"/>
    <mergeCell ref="I173:J173"/>
    <mergeCell ref="I174:J174"/>
    <mergeCell ref="I175:J175"/>
    <mergeCell ref="I176:J176"/>
    <mergeCell ref="I177:J177"/>
    <mergeCell ref="I178:J178"/>
    <mergeCell ref="I179:J179"/>
    <mergeCell ref="I180:J180"/>
    <mergeCell ref="I181:J181"/>
    <mergeCell ref="I182:J182"/>
    <mergeCell ref="I183:J183"/>
    <mergeCell ref="I184:J184"/>
    <mergeCell ref="I185:J185"/>
    <mergeCell ref="I186:J186"/>
    <mergeCell ref="F178:G178"/>
    <mergeCell ref="F179:G179"/>
    <mergeCell ref="I191:J191"/>
    <mergeCell ref="I192:J192"/>
    <mergeCell ref="F187:G187"/>
    <mergeCell ref="F188:G188"/>
    <mergeCell ref="F189:G189"/>
    <mergeCell ref="F190:G190"/>
    <mergeCell ref="F191:G191"/>
    <mergeCell ref="F192:G192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81:E181"/>
    <mergeCell ref="A182:E182"/>
    <mergeCell ref="A183:E183"/>
    <mergeCell ref="A184:E184"/>
    <mergeCell ref="F180:G180"/>
    <mergeCell ref="F181:G181"/>
    <mergeCell ref="F182:G182"/>
    <mergeCell ref="F183:G183"/>
    <mergeCell ref="F184:G184"/>
    <mergeCell ref="F185:G185"/>
    <mergeCell ref="F186:G186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L86:L95"/>
    <mergeCell ref="L99:L122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8:I88"/>
    <mergeCell ref="A89:I89"/>
    <mergeCell ref="A90:I90"/>
    <mergeCell ref="A91:I91"/>
    <mergeCell ref="A92:I92"/>
    <mergeCell ref="A93:I93"/>
    <mergeCell ref="A94:I94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80:I80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10:I110"/>
    <mergeCell ref="I72:J72"/>
    <mergeCell ref="I31:J31"/>
    <mergeCell ref="I32:J32"/>
    <mergeCell ref="A111:I111"/>
    <mergeCell ref="A120:I120"/>
    <mergeCell ref="A121:I121"/>
    <mergeCell ref="A122:I122"/>
    <mergeCell ref="A113:I113"/>
    <mergeCell ref="A114:I114"/>
    <mergeCell ref="A116:I116"/>
    <mergeCell ref="A117:I117"/>
    <mergeCell ref="A118:I118"/>
    <mergeCell ref="A119:I119"/>
    <mergeCell ref="D115:E115"/>
    <mergeCell ref="G115:J115"/>
    <mergeCell ref="A95:I95"/>
    <mergeCell ref="A86:I86"/>
    <mergeCell ref="A87:I87"/>
    <mergeCell ref="A83:I83"/>
    <mergeCell ref="A81:I81"/>
    <mergeCell ref="A82:I82"/>
    <mergeCell ref="A38:E38"/>
    <mergeCell ref="F38:G38"/>
    <mergeCell ref="L80:L83"/>
    <mergeCell ref="A149:I149"/>
    <mergeCell ref="A150:I150"/>
    <mergeCell ref="A151:I151"/>
    <mergeCell ref="A98:C98"/>
    <mergeCell ref="G98:J98"/>
    <mergeCell ref="G99:J99"/>
    <mergeCell ref="D98:E98"/>
    <mergeCell ref="D99:E99"/>
    <mergeCell ref="A99:C99"/>
    <mergeCell ref="A107:C107"/>
    <mergeCell ref="D107:E107"/>
    <mergeCell ref="G107:J107"/>
    <mergeCell ref="A115:C115"/>
    <mergeCell ref="A112:I112"/>
    <mergeCell ref="A100:I100"/>
    <mergeCell ref="A101:I101"/>
    <mergeCell ref="A102:I102"/>
    <mergeCell ref="A103:I103"/>
    <mergeCell ref="A104:I104"/>
    <mergeCell ref="A105:I105"/>
    <mergeCell ref="A106:I106"/>
    <mergeCell ref="A108:I108"/>
    <mergeCell ref="A109:I109"/>
    <mergeCell ref="A154:J154"/>
    <mergeCell ref="A160:D160"/>
    <mergeCell ref="A159:D159"/>
    <mergeCell ref="A162:E162"/>
    <mergeCell ref="F162:G162"/>
    <mergeCell ref="I162:J162"/>
    <mergeCell ref="A163:E163"/>
    <mergeCell ref="F163:G163"/>
    <mergeCell ref="I163:J163"/>
    <mergeCell ref="A164:E164"/>
    <mergeCell ref="F164:G164"/>
    <mergeCell ref="I164:J164"/>
    <mergeCell ref="A165:E165"/>
    <mergeCell ref="F165:G165"/>
    <mergeCell ref="I165:J165"/>
    <mergeCell ref="A166:E166"/>
    <mergeCell ref="F166:G166"/>
    <mergeCell ref="I166:J166"/>
    <mergeCell ref="A167:E167"/>
    <mergeCell ref="F167:G167"/>
    <mergeCell ref="I167:J167"/>
    <mergeCell ref="A168:E168"/>
    <mergeCell ref="F168:G168"/>
    <mergeCell ref="I168:J168"/>
    <mergeCell ref="A201:D201"/>
    <mergeCell ref="A202:D202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5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G9" sqref="G9"/>
    </sheetView>
  </sheetViews>
  <sheetFormatPr defaultRowHeight="15"/>
  <cols>
    <col min="1" max="1" width="53.5703125" style="31" bestFit="1" customWidth="1"/>
    <col min="2" max="2" width="12.28515625" style="131" customWidth="1"/>
    <col min="3" max="3" width="13" style="189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194</v>
      </c>
      <c r="G1" s="100">
        <f>-927787.3</f>
        <v>-927787.3</v>
      </c>
    </row>
    <row r="2" spans="1:12" ht="18.75" customHeight="1">
      <c r="A2" s="203" t="s">
        <v>175</v>
      </c>
      <c r="B2" s="198" t="s">
        <v>176</v>
      </c>
      <c r="C2" s="199">
        <v>12</v>
      </c>
      <c r="D2" s="204">
        <f>2040*12</f>
        <v>24480</v>
      </c>
      <c r="E2" s="200" t="s">
        <v>258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203" t="s">
        <v>210</v>
      </c>
      <c r="B3" s="197" t="s">
        <v>176</v>
      </c>
      <c r="C3" s="176">
        <v>9</v>
      </c>
      <c r="D3" s="196">
        <v>58140</v>
      </c>
      <c r="E3" s="130" t="s">
        <v>263</v>
      </c>
      <c r="F3" s="30"/>
      <c r="G3" s="30"/>
      <c r="L3" s="33" t="str">
        <f t="shared" si="0"/>
        <v>ТР</v>
      </c>
    </row>
    <row r="4" spans="1:12" ht="18.75" customHeight="1">
      <c r="A4" s="136" t="s">
        <v>190</v>
      </c>
      <c r="B4" s="135" t="s">
        <v>181</v>
      </c>
      <c r="C4" s="175">
        <v>1</v>
      </c>
      <c r="D4" s="137">
        <v>72428</v>
      </c>
      <c r="E4" s="134" t="s">
        <v>199</v>
      </c>
      <c r="F4" s="30"/>
      <c r="G4" s="30"/>
      <c r="L4" s="33" t="str">
        <f t="shared" si="0"/>
        <v>ТР</v>
      </c>
    </row>
    <row r="5" spans="1:12" ht="18.75" customHeight="1">
      <c r="A5" s="136" t="s">
        <v>200</v>
      </c>
      <c r="B5" s="141" t="s">
        <v>181</v>
      </c>
      <c r="C5" s="175">
        <v>1</v>
      </c>
      <c r="D5" s="137">
        <v>3000</v>
      </c>
      <c r="E5" s="134" t="s">
        <v>201</v>
      </c>
      <c r="F5" s="43"/>
      <c r="G5" s="43"/>
      <c r="K5" s="45"/>
      <c r="L5" s="33" t="str">
        <f t="shared" si="0"/>
        <v>ТР</v>
      </c>
    </row>
    <row r="6" spans="1:12" ht="18.75" customHeight="1">
      <c r="A6" s="136" t="s">
        <v>202</v>
      </c>
      <c r="B6" s="142" t="s">
        <v>181</v>
      </c>
      <c r="C6" s="176">
        <v>1</v>
      </c>
      <c r="D6" s="137">
        <v>3286</v>
      </c>
      <c r="E6" s="134" t="s">
        <v>203</v>
      </c>
      <c r="F6" s="43"/>
      <c r="G6" s="43"/>
      <c r="K6" s="45"/>
      <c r="L6" s="33" t="str">
        <f t="shared" si="0"/>
        <v>ТР</v>
      </c>
    </row>
    <row r="7" spans="1:12" ht="18.75" customHeight="1">
      <c r="A7" s="120" t="s">
        <v>204</v>
      </c>
      <c r="B7" s="143" t="s">
        <v>181</v>
      </c>
      <c r="C7" s="177">
        <v>1</v>
      </c>
      <c r="D7" s="117">
        <v>3109</v>
      </c>
      <c r="E7" s="116" t="s">
        <v>205</v>
      </c>
      <c r="F7" s="44"/>
      <c r="G7" s="44"/>
      <c r="K7" s="45"/>
      <c r="L7" s="33" t="str">
        <f t="shared" si="0"/>
        <v>ТР</v>
      </c>
    </row>
    <row r="8" spans="1:12" ht="18.75" customHeight="1">
      <c r="A8" s="136" t="s">
        <v>227</v>
      </c>
      <c r="B8" s="121" t="s">
        <v>181</v>
      </c>
      <c r="C8" s="138">
        <v>1</v>
      </c>
      <c r="D8" s="117">
        <v>3200</v>
      </c>
      <c r="E8" s="116" t="s">
        <v>207</v>
      </c>
      <c r="F8" s="44"/>
      <c r="G8" s="44"/>
      <c r="K8" s="42"/>
      <c r="L8" s="33" t="str">
        <f t="shared" si="0"/>
        <v>ТР</v>
      </c>
    </row>
    <row r="9" spans="1:12">
      <c r="A9" s="120" t="s">
        <v>208</v>
      </c>
      <c r="B9" s="144" t="s">
        <v>181</v>
      </c>
      <c r="C9" s="177">
        <v>1</v>
      </c>
      <c r="D9" s="117">
        <v>1800</v>
      </c>
      <c r="E9" s="116" t="s">
        <v>209</v>
      </c>
      <c r="F9" s="43"/>
      <c r="G9" s="43"/>
      <c r="K9" s="42"/>
      <c r="L9" s="33" t="str">
        <f t="shared" si="0"/>
        <v>ТР</v>
      </c>
    </row>
    <row r="10" spans="1:12">
      <c r="A10" s="122" t="s">
        <v>211</v>
      </c>
      <c r="B10" s="145" t="s">
        <v>181</v>
      </c>
      <c r="C10" s="178">
        <v>1</v>
      </c>
      <c r="D10" s="117">
        <v>1600</v>
      </c>
      <c r="E10" s="116" t="s">
        <v>212</v>
      </c>
      <c r="L10" s="33" t="str">
        <f t="shared" si="0"/>
        <v>ТР</v>
      </c>
    </row>
    <row r="11" spans="1:12" ht="94.5">
      <c r="A11" s="214" t="s">
        <v>271</v>
      </c>
      <c r="B11" s="148" t="s">
        <v>181</v>
      </c>
      <c r="C11" s="179">
        <v>1</v>
      </c>
      <c r="D11" s="45">
        <v>10100</v>
      </c>
      <c r="E11" s="130" t="s">
        <v>215</v>
      </c>
      <c r="F11" s="110" t="s">
        <v>198</v>
      </c>
      <c r="G11" s="110"/>
      <c r="L11" s="33" t="str">
        <f t="shared" si="0"/>
        <v>ТР</v>
      </c>
    </row>
    <row r="12" spans="1:12" ht="31.5">
      <c r="A12" s="149" t="s">
        <v>216</v>
      </c>
      <c r="B12" s="150" t="s">
        <v>181</v>
      </c>
      <c r="C12" s="180">
        <v>1</v>
      </c>
      <c r="D12" s="125">
        <v>929</v>
      </c>
      <c r="E12" s="151" t="s">
        <v>217</v>
      </c>
      <c r="F12" s="111" t="s">
        <v>73</v>
      </c>
      <c r="G12" s="112">
        <v>1200</v>
      </c>
      <c r="L12" s="33" t="str">
        <f t="shared" si="0"/>
        <v>ТР</v>
      </c>
    </row>
    <row r="13" spans="1:12" ht="31.5">
      <c r="A13" s="152" t="s">
        <v>218</v>
      </c>
      <c r="B13" s="153" t="s">
        <v>181</v>
      </c>
      <c r="C13" s="181">
        <v>1</v>
      </c>
      <c r="D13" s="154">
        <v>4745</v>
      </c>
      <c r="E13" s="152" t="s">
        <v>219</v>
      </c>
      <c r="F13" s="111" t="s">
        <v>180</v>
      </c>
      <c r="G13" s="112">
        <v>24500</v>
      </c>
      <c r="L13" s="33" t="str">
        <f t="shared" si="0"/>
        <v>ТР</v>
      </c>
    </row>
    <row r="14" spans="1:12" ht="15.75">
      <c r="A14" s="146" t="s">
        <v>214</v>
      </c>
      <c r="B14" s="147" t="s">
        <v>181</v>
      </c>
      <c r="C14" s="182">
        <v>1</v>
      </c>
      <c r="D14" s="117">
        <v>2800</v>
      </c>
      <c r="E14" s="124" t="s">
        <v>224</v>
      </c>
      <c r="F14" s="111" t="s">
        <v>265</v>
      </c>
      <c r="G14" s="118">
        <v>25000</v>
      </c>
      <c r="L14" s="33" t="str">
        <f t="shared" si="0"/>
        <v>ТР</v>
      </c>
    </row>
    <row r="15" spans="1:12" ht="31.5">
      <c r="A15" s="122" t="s">
        <v>220</v>
      </c>
      <c r="B15" s="155" t="s">
        <v>181</v>
      </c>
      <c r="C15" s="178">
        <v>1</v>
      </c>
      <c r="D15" s="117">
        <v>1300</v>
      </c>
      <c r="E15" s="116" t="s">
        <v>221</v>
      </c>
      <c r="F15" s="111" t="s">
        <v>264</v>
      </c>
      <c r="G15" s="118">
        <v>30000</v>
      </c>
      <c r="L15" s="33" t="str">
        <f t="shared" si="0"/>
        <v>ТР</v>
      </c>
    </row>
    <row r="16" spans="1:12" ht="15.75">
      <c r="A16" s="122" t="s">
        <v>222</v>
      </c>
      <c r="B16" s="155" t="s">
        <v>181</v>
      </c>
      <c r="C16" s="178">
        <v>1</v>
      </c>
      <c r="D16" s="117">
        <v>3600</v>
      </c>
      <c r="E16" s="116" t="s">
        <v>223</v>
      </c>
      <c r="F16" s="126" t="s">
        <v>269</v>
      </c>
      <c r="G16" s="119">
        <v>1500000</v>
      </c>
      <c r="L16" s="33" t="str">
        <f t="shared" si="0"/>
        <v>ТР</v>
      </c>
    </row>
    <row r="17" spans="1:12" ht="31.5">
      <c r="A17" s="122" t="s">
        <v>272</v>
      </c>
      <c r="B17" s="155" t="s">
        <v>181</v>
      </c>
      <c r="C17" s="178">
        <v>1</v>
      </c>
      <c r="D17" s="117">
        <v>1311</v>
      </c>
      <c r="E17" s="116" t="s">
        <v>225</v>
      </c>
      <c r="F17" s="213" t="s">
        <v>268</v>
      </c>
      <c r="G17" s="119">
        <v>30000</v>
      </c>
      <c r="L17" s="33" t="str">
        <f t="shared" si="0"/>
        <v>ТР</v>
      </c>
    </row>
    <row r="18" spans="1:12" ht="15.75">
      <c r="A18" s="122" t="s">
        <v>213</v>
      </c>
      <c r="B18" s="155" t="s">
        <v>181</v>
      </c>
      <c r="C18" s="178">
        <v>1</v>
      </c>
      <c r="D18" s="117">
        <v>1745</v>
      </c>
      <c r="E18" s="116" t="s">
        <v>226</v>
      </c>
      <c r="F18" s="128" t="s">
        <v>267</v>
      </c>
      <c r="G18" s="127">
        <v>15000</v>
      </c>
      <c r="L18" s="33" t="str">
        <f t="shared" si="0"/>
        <v>ТР</v>
      </c>
    </row>
    <row r="19" spans="1:12" ht="15.75">
      <c r="A19" s="136" t="s">
        <v>206</v>
      </c>
      <c r="B19" s="121" t="s">
        <v>181</v>
      </c>
      <c r="C19" s="183">
        <v>1</v>
      </c>
      <c r="D19" s="123">
        <v>1500</v>
      </c>
      <c r="E19" s="156" t="s">
        <v>228</v>
      </c>
      <c r="F19" s="7" t="s">
        <v>266</v>
      </c>
      <c r="G19" s="127">
        <v>40000</v>
      </c>
      <c r="L19" s="33" t="str">
        <f t="shared" si="0"/>
        <v>ТР</v>
      </c>
    </row>
    <row r="20" spans="1:12" ht="15.75">
      <c r="A20" s="159" t="s">
        <v>229</v>
      </c>
      <c r="B20" s="157" t="s">
        <v>181</v>
      </c>
      <c r="C20" s="184">
        <v>1</v>
      </c>
      <c r="D20" s="158">
        <v>3400</v>
      </c>
      <c r="E20" s="124" t="s">
        <v>230</v>
      </c>
      <c r="F20" s="7" t="s">
        <v>270</v>
      </c>
      <c r="G20" s="127">
        <v>40000</v>
      </c>
      <c r="L20" s="33" t="str">
        <f t="shared" si="0"/>
        <v>ТР</v>
      </c>
    </row>
    <row r="21" spans="1:12" ht="15.75">
      <c r="A21" s="161" t="s">
        <v>231</v>
      </c>
      <c r="B21" s="160" t="s">
        <v>181</v>
      </c>
      <c r="C21" s="185">
        <v>1</v>
      </c>
      <c r="D21" s="132">
        <v>3600</v>
      </c>
      <c r="E21" s="124" t="s">
        <v>232</v>
      </c>
      <c r="F21" s="139" t="s">
        <v>193</v>
      </c>
      <c r="G21" s="140">
        <v>75000</v>
      </c>
      <c r="L21" s="33" t="str">
        <f t="shared" si="0"/>
        <v>ТР</v>
      </c>
    </row>
    <row r="22" spans="1:12" ht="15.75">
      <c r="A22" s="162" t="s">
        <v>234</v>
      </c>
      <c r="B22" s="160" t="s">
        <v>181</v>
      </c>
      <c r="C22" s="185">
        <v>1</v>
      </c>
      <c r="D22" s="132">
        <v>4800</v>
      </c>
      <c r="E22" s="124" t="s">
        <v>235</v>
      </c>
      <c r="F22" s="128"/>
      <c r="G22" s="127"/>
      <c r="L22" s="33" t="str">
        <f t="shared" si="0"/>
        <v>ТР</v>
      </c>
    </row>
    <row r="23" spans="1:12" ht="15.75">
      <c r="A23" s="166" t="s">
        <v>237</v>
      </c>
      <c r="B23" s="160" t="s">
        <v>181</v>
      </c>
      <c r="C23" s="185">
        <v>1</v>
      </c>
      <c r="D23" s="132">
        <v>5400</v>
      </c>
      <c r="E23" s="124" t="s">
        <v>238</v>
      </c>
      <c r="F23" s="129"/>
      <c r="G23" s="127"/>
      <c r="L23" s="33" t="str">
        <f t="shared" ref="L23:L36" si="1">IF(A23&gt;0,"ТР",0)</f>
        <v>ТР</v>
      </c>
    </row>
    <row r="24" spans="1:12">
      <c r="A24" s="166" t="s">
        <v>239</v>
      </c>
      <c r="B24" s="164" t="s">
        <v>181</v>
      </c>
      <c r="C24" s="186">
        <v>1</v>
      </c>
      <c r="D24" s="165">
        <v>5400</v>
      </c>
      <c r="E24" s="167" t="s">
        <v>240</v>
      </c>
      <c r="F24" s="102"/>
      <c r="L24" s="33" t="str">
        <f t="shared" si="1"/>
        <v>ТР</v>
      </c>
    </row>
    <row r="25" spans="1:12">
      <c r="A25" s="168" t="s">
        <v>241</v>
      </c>
      <c r="B25" s="169" t="s">
        <v>181</v>
      </c>
      <c r="C25" s="184">
        <v>1</v>
      </c>
      <c r="D25" s="158">
        <v>12000</v>
      </c>
      <c r="E25" s="124" t="s">
        <v>242</v>
      </c>
      <c r="F25" s="102"/>
      <c r="L25" s="33" t="str">
        <f t="shared" si="1"/>
        <v>ТР</v>
      </c>
    </row>
    <row r="26" spans="1:12">
      <c r="A26" s="166" t="s">
        <v>243</v>
      </c>
      <c r="B26" s="169" t="s">
        <v>181</v>
      </c>
      <c r="C26" s="187">
        <v>1</v>
      </c>
      <c r="D26" s="132">
        <v>1400</v>
      </c>
      <c r="E26" s="124" t="s">
        <v>244</v>
      </c>
      <c r="F26" s="102"/>
      <c r="L26" s="33" t="str">
        <f t="shared" si="1"/>
        <v>ТР</v>
      </c>
    </row>
    <row r="27" spans="1:12">
      <c r="A27" s="163" t="s">
        <v>233</v>
      </c>
      <c r="B27" s="164" t="s">
        <v>181</v>
      </c>
      <c r="C27" s="186">
        <v>1</v>
      </c>
      <c r="D27" s="165">
        <v>354304</v>
      </c>
      <c r="E27" s="167" t="s">
        <v>245</v>
      </c>
      <c r="F27" s="102"/>
      <c r="L27" s="33" t="str">
        <f t="shared" si="1"/>
        <v>ТР</v>
      </c>
    </row>
    <row r="28" spans="1:12">
      <c r="A28" s="166" t="s">
        <v>246</v>
      </c>
      <c r="B28" s="121" t="s">
        <v>181</v>
      </c>
      <c r="C28" s="188">
        <v>1</v>
      </c>
      <c r="D28" s="132">
        <v>7400</v>
      </c>
      <c r="E28" s="124" t="s">
        <v>247</v>
      </c>
      <c r="F28" s="102"/>
      <c r="L28" s="33" t="str">
        <f t="shared" si="1"/>
        <v>ТР</v>
      </c>
    </row>
    <row r="29" spans="1:12">
      <c r="A29" s="172" t="s">
        <v>251</v>
      </c>
      <c r="B29" s="160" t="s">
        <v>181</v>
      </c>
      <c r="C29" s="185">
        <v>1</v>
      </c>
      <c r="D29" s="132">
        <v>14400</v>
      </c>
      <c r="E29" s="124" t="s">
        <v>252</v>
      </c>
      <c r="F29" s="102"/>
      <c r="L29" s="33" t="str">
        <f t="shared" si="1"/>
        <v>ТР</v>
      </c>
    </row>
    <row r="30" spans="1:12">
      <c r="A30" s="170" t="s">
        <v>249</v>
      </c>
      <c r="B30" s="171" t="s">
        <v>181</v>
      </c>
      <c r="C30" s="184">
        <v>1</v>
      </c>
      <c r="D30" s="158">
        <v>3600</v>
      </c>
      <c r="E30" s="124" t="s">
        <v>250</v>
      </c>
      <c r="F30" s="102"/>
      <c r="L30" s="33" t="str">
        <f t="shared" si="1"/>
        <v>ТР</v>
      </c>
    </row>
    <row r="31" spans="1:12">
      <c r="A31" s="191" t="s">
        <v>248</v>
      </c>
      <c r="B31" s="192" t="s">
        <v>181</v>
      </c>
      <c r="C31" s="192">
        <v>1</v>
      </c>
      <c r="D31" s="193">
        <v>11486</v>
      </c>
      <c r="E31" s="194" t="s">
        <v>254</v>
      </c>
      <c r="L31" s="33" t="str">
        <f t="shared" si="1"/>
        <v>ТР</v>
      </c>
    </row>
    <row r="32" spans="1:12" ht="36.75" customHeight="1">
      <c r="A32" s="195" t="s">
        <v>236</v>
      </c>
      <c r="B32" s="171" t="s">
        <v>181</v>
      </c>
      <c r="C32" s="184">
        <v>1</v>
      </c>
      <c r="D32" s="158">
        <v>13436</v>
      </c>
      <c r="E32" s="124" t="s">
        <v>255</v>
      </c>
      <c r="H32" s="98"/>
      <c r="I32" s="98"/>
      <c r="L32" s="33" t="str">
        <f t="shared" si="1"/>
        <v>ТР</v>
      </c>
    </row>
    <row r="33" spans="1:16">
      <c r="A33" s="208" t="s">
        <v>256</v>
      </c>
      <c r="B33" s="209" t="s">
        <v>181</v>
      </c>
      <c r="C33" s="206">
        <v>1</v>
      </c>
      <c r="D33" s="207">
        <v>7144</v>
      </c>
      <c r="E33" s="202" t="s">
        <v>257</v>
      </c>
      <c r="L33" s="33" t="str">
        <f t="shared" si="1"/>
        <v>ТР</v>
      </c>
    </row>
    <row r="34" spans="1:16">
      <c r="A34" s="210" t="s">
        <v>259</v>
      </c>
      <c r="B34" s="201" t="s">
        <v>181</v>
      </c>
      <c r="C34" s="184">
        <v>1</v>
      </c>
      <c r="D34" s="196">
        <v>4000</v>
      </c>
      <c r="E34" s="202" t="s">
        <v>260</v>
      </c>
      <c r="L34" s="33" t="str">
        <f t="shared" si="1"/>
        <v>ТР</v>
      </c>
    </row>
    <row r="35" spans="1:16">
      <c r="A35" s="215" t="s">
        <v>273</v>
      </c>
      <c r="B35" s="201" t="s">
        <v>181</v>
      </c>
      <c r="C35" s="205">
        <v>1</v>
      </c>
      <c r="D35" s="196">
        <v>8000</v>
      </c>
      <c r="E35" s="130" t="s">
        <v>261</v>
      </c>
      <c r="L35" s="33" t="str">
        <f t="shared" si="1"/>
        <v>ТР</v>
      </c>
    </row>
    <row r="36" spans="1:16">
      <c r="A36" s="211" t="s">
        <v>253</v>
      </c>
      <c r="B36" s="201" t="s">
        <v>181</v>
      </c>
      <c r="C36" s="184">
        <v>1</v>
      </c>
      <c r="D36" s="196">
        <v>15780</v>
      </c>
      <c r="E36" s="202" t="s">
        <v>262</v>
      </c>
      <c r="L36" s="33" t="str">
        <f t="shared" si="1"/>
        <v>ТР</v>
      </c>
    </row>
    <row r="37" spans="1:16">
      <c r="A37" s="212"/>
      <c r="B37" s="201"/>
      <c r="C37" s="205"/>
      <c r="D37" s="196"/>
      <c r="E37" s="130"/>
    </row>
    <row r="39" spans="1:16" ht="31.5" customHeight="1">
      <c r="A39" s="37" t="s">
        <v>22</v>
      </c>
      <c r="B39" s="173">
        <v>818787.24</v>
      </c>
      <c r="C39" s="174" t="s">
        <v>68</v>
      </c>
      <c r="D39" s="38">
        <v>12</v>
      </c>
      <c r="E39" s="34"/>
      <c r="J39" s="36"/>
      <c r="L39" s="39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0">
        <f>B39</f>
        <v>818787.24</v>
      </c>
      <c r="O39" s="40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173">
        <v>298343.52</v>
      </c>
      <c r="C40" s="174" t="s">
        <v>68</v>
      </c>
      <c r="D40" s="38">
        <v>12</v>
      </c>
      <c r="E40" s="34"/>
      <c r="J40" s="36"/>
      <c r="L40" s="39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0">
        <f t="shared" ref="N40:N53" si="4">B40</f>
        <v>298343.52</v>
      </c>
      <c r="O40" s="40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73">
        <v>339780.12</v>
      </c>
      <c r="C41" s="174" t="s">
        <v>69</v>
      </c>
      <c r="D41" s="38">
        <v>12</v>
      </c>
      <c r="E41" s="34"/>
      <c r="J41" s="36"/>
      <c r="L41" s="39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0">
        <f t="shared" si="4"/>
        <v>339780.12</v>
      </c>
      <c r="O41" s="40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73">
        <v>195580.79999999999</v>
      </c>
      <c r="C42" s="174" t="s">
        <v>68</v>
      </c>
      <c r="D42" s="38">
        <v>12</v>
      </c>
      <c r="E42" s="34"/>
      <c r="J42" s="36"/>
      <c r="L42" s="39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0">
        <f t="shared" si="4"/>
        <v>195580.79999999999</v>
      </c>
      <c r="O42" s="40" t="str">
        <f t="shared" si="5"/>
        <v>Ежемесячно</v>
      </c>
      <c r="P42">
        <f t="shared" si="6"/>
        <v>12</v>
      </c>
    </row>
    <row r="43" spans="1:16" ht="15.75">
      <c r="A43" s="37"/>
      <c r="B43" s="174"/>
      <c r="C43" s="174"/>
      <c r="D43" s="38"/>
      <c r="E43" s="34"/>
      <c r="J43" s="36"/>
      <c r="L43" s="39">
        <f t="shared" si="2"/>
        <v>0</v>
      </c>
      <c r="M43">
        <f t="shared" si="3"/>
        <v>0</v>
      </c>
      <c r="N43" s="40">
        <f t="shared" si="4"/>
        <v>0</v>
      </c>
      <c r="O43" s="40">
        <f t="shared" si="5"/>
        <v>0</v>
      </c>
      <c r="P43">
        <f t="shared" si="6"/>
        <v>0</v>
      </c>
    </row>
    <row r="44" spans="1:16" ht="25.5">
      <c r="A44" s="37" t="s">
        <v>24</v>
      </c>
      <c r="B44" s="173">
        <v>82873.200000000012</v>
      </c>
      <c r="C44" s="174" t="s">
        <v>70</v>
      </c>
      <c r="D44" s="38">
        <v>12</v>
      </c>
      <c r="E44" s="34"/>
      <c r="J44" s="36"/>
      <c r="L44" s="39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0">
        <f t="shared" si="4"/>
        <v>82873.200000000012</v>
      </c>
      <c r="O44" s="40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173">
        <v>414366</v>
      </c>
      <c r="C45" s="174" t="s">
        <v>69</v>
      </c>
      <c r="D45" s="38">
        <v>12</v>
      </c>
      <c r="E45" s="34"/>
      <c r="J45" s="36"/>
      <c r="L45" s="39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0">
        <f t="shared" si="4"/>
        <v>414366</v>
      </c>
      <c r="O45" s="40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133"/>
      <c r="C46" s="190"/>
      <c r="D46" s="47"/>
      <c r="E46" s="133">
        <v>3894.5</v>
      </c>
      <c r="F46" s="133">
        <v>2604.6</v>
      </c>
      <c r="L46" s="39">
        <f t="shared" si="2"/>
        <v>0</v>
      </c>
      <c r="M46">
        <f t="shared" si="3"/>
        <v>0</v>
      </c>
      <c r="N46" s="40">
        <f t="shared" si="4"/>
        <v>0</v>
      </c>
      <c r="O46" s="40">
        <f t="shared" si="5"/>
        <v>0</v>
      </c>
      <c r="P46">
        <f t="shared" si="6"/>
        <v>0</v>
      </c>
    </row>
    <row r="47" spans="1:16" ht="15.75">
      <c r="A47" s="37" t="s">
        <v>182</v>
      </c>
      <c r="B47" s="173">
        <v>174033.72</v>
      </c>
      <c r="C47" s="190" t="s">
        <v>68</v>
      </c>
      <c r="D47" s="47">
        <v>12</v>
      </c>
      <c r="L47" s="39" t="str">
        <f t="shared" si="2"/>
        <v>СОД</v>
      </c>
      <c r="M47" t="str">
        <f t="shared" si="3"/>
        <v>Работы по обеспечению пожарной безопасности</v>
      </c>
      <c r="N47" s="40">
        <f t="shared" si="4"/>
        <v>174033.72</v>
      </c>
      <c r="O47" s="40" t="str">
        <f t="shared" si="5"/>
        <v>Ежемесячно</v>
      </c>
      <c r="P47">
        <f t="shared" si="6"/>
        <v>12</v>
      </c>
    </row>
    <row r="48" spans="1:16">
      <c r="L48" s="39">
        <f t="shared" si="2"/>
        <v>0</v>
      </c>
      <c r="M48">
        <f t="shared" si="3"/>
        <v>0</v>
      </c>
      <c r="N48" s="40">
        <f t="shared" si="4"/>
        <v>0</v>
      </c>
      <c r="O48" s="40">
        <f t="shared" si="5"/>
        <v>0</v>
      </c>
      <c r="P48">
        <f t="shared" si="6"/>
        <v>0</v>
      </c>
    </row>
    <row r="49" spans="5:16">
      <c r="L49" s="39">
        <f t="shared" si="2"/>
        <v>0</v>
      </c>
      <c r="M49">
        <f t="shared" si="3"/>
        <v>0</v>
      </c>
      <c r="N49" s="40">
        <f t="shared" si="4"/>
        <v>0</v>
      </c>
      <c r="O49" s="40">
        <f t="shared" si="5"/>
        <v>0</v>
      </c>
      <c r="P49">
        <f t="shared" si="6"/>
        <v>0</v>
      </c>
    </row>
    <row r="50" spans="5:16">
      <c r="L50" s="39">
        <f t="shared" si="2"/>
        <v>0</v>
      </c>
      <c r="M50">
        <f t="shared" si="3"/>
        <v>0</v>
      </c>
      <c r="N50" s="40">
        <f t="shared" si="4"/>
        <v>0</v>
      </c>
      <c r="O50" s="40">
        <f t="shared" si="5"/>
        <v>0</v>
      </c>
      <c r="P50">
        <f t="shared" si="6"/>
        <v>0</v>
      </c>
    </row>
    <row r="51" spans="5:16">
      <c r="E51" s="131" t="s">
        <v>183</v>
      </c>
      <c r="F51" s="131" t="s">
        <v>184</v>
      </c>
      <c r="G51" s="131" t="s">
        <v>185</v>
      </c>
      <c r="L51" s="39">
        <f t="shared" si="2"/>
        <v>0</v>
      </c>
      <c r="M51">
        <f t="shared" si="3"/>
        <v>0</v>
      </c>
      <c r="N51" s="40">
        <f t="shared" si="4"/>
        <v>0</v>
      </c>
      <c r="O51" s="40">
        <f t="shared" si="5"/>
        <v>0</v>
      </c>
      <c r="P51">
        <f t="shared" si="6"/>
        <v>0</v>
      </c>
    </row>
    <row r="52" spans="5:16">
      <c r="E52" s="131">
        <v>35.896999999999998</v>
      </c>
      <c r="F52" s="133">
        <v>13904.2</v>
      </c>
      <c r="G52" s="131">
        <v>3.5</v>
      </c>
      <c r="H52" s="131">
        <f>G52*E46/F52</f>
        <v>0.98033328059147595</v>
      </c>
      <c r="L52" s="39">
        <f t="shared" si="2"/>
        <v>0</v>
      </c>
      <c r="M52">
        <f t="shared" si="3"/>
        <v>0</v>
      </c>
      <c r="N52" s="40">
        <f t="shared" si="4"/>
        <v>0</v>
      </c>
      <c r="O52" s="40">
        <f t="shared" si="5"/>
        <v>0</v>
      </c>
      <c r="P52">
        <f t="shared" si="6"/>
        <v>0</v>
      </c>
    </row>
    <row r="53" spans="5:16">
      <c r="E53" s="131"/>
      <c r="F53" s="131" t="s">
        <v>186</v>
      </c>
      <c r="G53" s="131" t="s">
        <v>187</v>
      </c>
      <c r="H53" s="131">
        <f>H52*G55</f>
        <v>26.86113188820644</v>
      </c>
      <c r="L53" s="39">
        <f t="shared" si="2"/>
        <v>0</v>
      </c>
      <c r="M53">
        <f t="shared" si="3"/>
        <v>0</v>
      </c>
      <c r="N53" s="40">
        <f t="shared" si="4"/>
        <v>0</v>
      </c>
      <c r="O53" s="40">
        <f t="shared" si="5"/>
        <v>0</v>
      </c>
      <c r="P53">
        <f t="shared" si="6"/>
        <v>0</v>
      </c>
    </row>
    <row r="54" spans="5:16">
      <c r="E54" s="131"/>
      <c r="F54" s="131">
        <v>1.17</v>
      </c>
      <c r="G54" s="131">
        <v>1.23</v>
      </c>
      <c r="H54" s="131"/>
    </row>
    <row r="55" spans="5:16">
      <c r="E55" s="131"/>
      <c r="F55" s="131"/>
      <c r="G55" s="131">
        <v>27.4</v>
      </c>
      <c r="H55" s="131"/>
    </row>
    <row r="56" spans="5:16">
      <c r="E56" s="131"/>
      <c r="F56" s="131"/>
      <c r="G56" s="131"/>
      <c r="H56" s="131"/>
    </row>
    <row r="57" spans="5:16">
      <c r="E57" s="131" t="s">
        <v>188</v>
      </c>
      <c r="F57" s="131"/>
      <c r="G57" s="131"/>
      <c r="H57" s="131"/>
    </row>
    <row r="58" spans="5:16">
      <c r="E58" s="131">
        <v>0.59599999999999997</v>
      </c>
      <c r="F58" s="133">
        <v>13904.2</v>
      </c>
      <c r="G58" s="131">
        <v>7.4999999999999997E-2</v>
      </c>
      <c r="H58" s="131">
        <f>G58*F46</f>
        <v>195.345</v>
      </c>
    </row>
    <row r="59" spans="5:16">
      <c r="E59" s="131"/>
      <c r="F59" s="131" t="s">
        <v>186</v>
      </c>
      <c r="G59" s="131" t="s">
        <v>187</v>
      </c>
      <c r="H59" s="131">
        <f>H58/F58</f>
        <v>1.4049351994361416E-2</v>
      </c>
    </row>
    <row r="60" spans="5:16">
      <c r="E60" s="131"/>
      <c r="F60" s="131">
        <v>12.94</v>
      </c>
      <c r="G60" s="131">
        <v>13.45</v>
      </c>
      <c r="H60" s="131">
        <f>H59*G55</f>
        <v>0.38495224464550276</v>
      </c>
    </row>
    <row r="61" spans="5:16">
      <c r="E61" s="131" t="s">
        <v>189</v>
      </c>
      <c r="F61" s="131"/>
      <c r="G61" s="131"/>
      <c r="H61" s="131"/>
    </row>
    <row r="62" spans="5:16">
      <c r="E62" s="131">
        <v>0.59599999999999997</v>
      </c>
      <c r="F62" s="133">
        <v>13904.2</v>
      </c>
      <c r="G62" s="131">
        <v>7.4999999999999997E-2</v>
      </c>
      <c r="H62" s="131">
        <f>G62*F46</f>
        <v>195.345</v>
      </c>
    </row>
    <row r="63" spans="5:16">
      <c r="E63" s="131"/>
      <c r="F63" s="131" t="s">
        <v>186</v>
      </c>
      <c r="G63" s="131" t="s">
        <v>187</v>
      </c>
      <c r="H63" s="131">
        <f>H62/F62</f>
        <v>1.4049351994361416E-2</v>
      </c>
    </row>
    <row r="64" spans="5:16">
      <c r="E64" s="131"/>
      <c r="F64" s="131">
        <v>15.73</v>
      </c>
      <c r="G64" s="131">
        <v>16.350000000000001</v>
      </c>
      <c r="H64" s="131">
        <f>H63*G55</f>
        <v>0.38495224464550276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NfkMgdV9QN4CeIJn0avvOVxUdaSv/oySEid/OJxBTLGjqAxkmuBFE6yVWK09E8cfw9ZWENKb/gOXiUNzjlQlig==" saltValue="RPl7fF7NDvNTgoL1AjK4l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2" sqref="C32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177</v>
      </c>
      <c r="F1" s="59">
        <v>13868.5</v>
      </c>
    </row>
    <row r="2" spans="1:10" ht="15.75" customHeight="1">
      <c r="A2" s="69" t="s">
        <v>81</v>
      </c>
      <c r="B2" s="71" t="s">
        <v>2</v>
      </c>
      <c r="C2" s="82">
        <v>0</v>
      </c>
      <c r="D2" s="80" t="s">
        <v>58</v>
      </c>
      <c r="E2" s="60" t="s">
        <v>191</v>
      </c>
      <c r="F2" s="60" t="s">
        <v>192</v>
      </c>
      <c r="G2" s="60"/>
      <c r="H2" s="60"/>
      <c r="I2" s="60"/>
      <c r="J2" s="60"/>
    </row>
    <row r="3" spans="1:10" ht="15.75" customHeight="1">
      <c r="A3" s="69" t="s">
        <v>82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83</v>
      </c>
      <c r="B4" s="71" t="s">
        <v>4</v>
      </c>
      <c r="C4" s="82">
        <v>425065.31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84</v>
      </c>
      <c r="B5" s="71" t="s">
        <v>5</v>
      </c>
      <c r="C5" s="78">
        <f>SUM(C6:C8)</f>
        <v>3950510.86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85</v>
      </c>
      <c r="B6" s="71" t="s">
        <v>6</v>
      </c>
      <c r="C6" s="82">
        <v>2330489.5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86</v>
      </c>
      <c r="B7" s="71" t="s">
        <v>7</v>
      </c>
      <c r="C7" s="82">
        <f>F1*5*12</f>
        <v>832110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87</v>
      </c>
      <c r="B8" s="71" t="s">
        <v>8</v>
      </c>
      <c r="C8" s="82">
        <v>787911.36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88</v>
      </c>
      <c r="B9" s="71" t="s">
        <v>9</v>
      </c>
      <c r="C9" s="78">
        <f>SUM(C10:C14)</f>
        <v>4211928.51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89</v>
      </c>
      <c r="B10" s="71" t="s">
        <v>10</v>
      </c>
      <c r="C10" s="82">
        <v>4211928.51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90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91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92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93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94</v>
      </c>
      <c r="B15" s="71" t="s">
        <v>15</v>
      </c>
      <c r="C15" s="78">
        <f>C9</f>
        <v>4211928.51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95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96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97</v>
      </c>
      <c r="B18" s="71" t="s">
        <v>18</v>
      </c>
      <c r="C18" s="78">
        <f>IF(C16&gt;0,0,IF(C4&gt;0,C4+C5-C9,C5-C2-C9))</f>
        <v>163647.66000000015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160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98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252"/>
      <c r="N20" s="61"/>
    </row>
    <row r="21" spans="1:15" ht="15.75" customHeight="1">
      <c r="A21" s="69" t="s">
        <v>99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252"/>
      <c r="N21" s="61"/>
    </row>
    <row r="22" spans="1:15" ht="15.75" customHeight="1">
      <c r="A22" s="69" t="s">
        <v>100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252"/>
      <c r="N22" s="61"/>
    </row>
    <row r="23" spans="1:15" ht="15.75" customHeight="1">
      <c r="A23" s="69" t="s">
        <v>101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252"/>
      <c r="N23" s="61"/>
    </row>
    <row r="24" spans="1:15" ht="18.75">
      <c r="A24" s="72" t="s">
        <v>161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102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251"/>
      <c r="N25" s="62"/>
    </row>
    <row r="26" spans="1:15" ht="18.75" customHeight="1">
      <c r="A26" s="69" t="s">
        <v>103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251"/>
      <c r="N26" s="62"/>
    </row>
    <row r="27" spans="1:15" ht="18.75" customHeight="1">
      <c r="A27" s="69" t="s">
        <v>104</v>
      </c>
      <c r="B27" s="74" t="s">
        <v>4</v>
      </c>
      <c r="C27" s="85"/>
      <c r="D27" s="80" t="s">
        <v>60</v>
      </c>
      <c r="E27" s="63"/>
      <c r="F27" s="63"/>
      <c r="G27" s="63"/>
      <c r="H27" s="63"/>
      <c r="I27" s="63"/>
      <c r="J27" s="63"/>
      <c r="M27" s="251"/>
      <c r="N27" s="62"/>
    </row>
    <row r="28" spans="1:15" ht="18.75" customHeight="1">
      <c r="A28" s="69" t="s">
        <v>105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251"/>
      <c r="N28" s="62"/>
    </row>
    <row r="29" spans="1:15" ht="18.75" customHeight="1">
      <c r="A29" s="69" t="s">
        <v>106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251"/>
      <c r="N29" s="62"/>
    </row>
    <row r="30" spans="1:15" ht="18.75" customHeight="1">
      <c r="A30" s="69" t="s">
        <v>107</v>
      </c>
      <c r="B30" s="74" t="s">
        <v>18</v>
      </c>
      <c r="C30" s="85"/>
      <c r="D30" s="80" t="s">
        <v>66</v>
      </c>
      <c r="E30" s="63"/>
      <c r="F30" s="63"/>
      <c r="G30" s="63"/>
      <c r="H30" s="63"/>
      <c r="I30" s="63"/>
      <c r="J30" s="63"/>
      <c r="M30" s="251"/>
      <c r="N30" s="62"/>
    </row>
    <row r="31" spans="1:15" ht="18.75" customHeight="1">
      <c r="A31" s="69" t="s">
        <v>108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251"/>
      <c r="N31" s="62"/>
    </row>
    <row r="32" spans="1:15" ht="18.75" customHeight="1">
      <c r="A32" s="69" t="s">
        <v>109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251"/>
      <c r="N32" s="62"/>
    </row>
    <row r="33" spans="1:15" ht="18.75" customHeight="1">
      <c r="A33" s="69" t="s">
        <v>110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251"/>
      <c r="N33" s="62"/>
    </row>
    <row r="34" spans="1:15" ht="18.75" customHeight="1">
      <c r="A34" s="69" t="s">
        <v>111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251"/>
      <c r="N34" s="62"/>
    </row>
    <row r="35" spans="1:15" ht="18.75">
      <c r="A35" s="72" t="s">
        <v>162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163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119</v>
      </c>
      <c r="B37" s="76" t="s">
        <v>53</v>
      </c>
      <c r="C37" s="95">
        <f>IF(E37&gt;0,"Предоставляется",0)</f>
        <v>0</v>
      </c>
      <c r="D37" s="95" t="s">
        <v>52</v>
      </c>
      <c r="E37" s="94"/>
      <c r="F37" s="93" t="s">
        <v>166</v>
      </c>
      <c r="G37" s="65"/>
      <c r="H37" s="65"/>
      <c r="I37" s="65"/>
      <c r="L37" s="62"/>
      <c r="M37" s="250"/>
      <c r="N37" s="62"/>
      <c r="O37" s="62"/>
    </row>
    <row r="38" spans="1:15" ht="18.75" customHeight="1">
      <c r="A38" s="69" t="s">
        <v>112</v>
      </c>
      <c r="B38" s="77" t="s">
        <v>37</v>
      </c>
      <c r="C38" s="89"/>
      <c r="D38" s="93" t="s">
        <v>164</v>
      </c>
      <c r="E38" s="67"/>
      <c r="G38" s="66"/>
      <c r="H38" s="66"/>
      <c r="L38" s="62"/>
      <c r="M38" s="250"/>
      <c r="N38" s="62"/>
      <c r="O38" s="62"/>
    </row>
    <row r="39" spans="1:15" ht="18.75" customHeight="1">
      <c r="A39" s="69" t="s">
        <v>113</v>
      </c>
      <c r="B39" s="77" t="s">
        <v>38</v>
      </c>
      <c r="C39" s="90"/>
      <c r="D39" s="93" t="s">
        <v>165</v>
      </c>
      <c r="E39" s="67"/>
      <c r="G39" s="66"/>
      <c r="H39" s="66"/>
      <c r="L39" s="62"/>
      <c r="M39" s="250"/>
      <c r="N39" s="62"/>
      <c r="O39" s="62"/>
    </row>
    <row r="40" spans="1:15" ht="18.75" customHeight="1">
      <c r="A40" s="69" t="s">
        <v>114</v>
      </c>
      <c r="B40" s="77" t="s">
        <v>39</v>
      </c>
      <c r="C40" s="92">
        <f>IF(E37-C39&lt;0,0,E37-C39)</f>
        <v>0</v>
      </c>
      <c r="D40" s="79" t="s">
        <v>59</v>
      </c>
      <c r="E40" s="67"/>
      <c r="G40" s="66"/>
      <c r="H40" s="66"/>
      <c r="L40" s="62"/>
      <c r="M40" s="250"/>
      <c r="N40" s="62"/>
      <c r="O40" s="62"/>
    </row>
    <row r="41" spans="1:15" ht="18.75" customHeight="1">
      <c r="A41" s="69" t="s">
        <v>115</v>
      </c>
      <c r="B41" s="77" t="s">
        <v>40</v>
      </c>
      <c r="C41" s="92">
        <f>E37</f>
        <v>0</v>
      </c>
      <c r="D41" s="79" t="s">
        <v>59</v>
      </c>
      <c r="E41" s="67"/>
      <c r="G41" s="66"/>
      <c r="H41" s="66"/>
      <c r="L41" s="62"/>
      <c r="M41" s="250"/>
      <c r="N41" s="62"/>
      <c r="O41" s="62"/>
    </row>
    <row r="42" spans="1:15" ht="18.75" customHeight="1">
      <c r="A42" s="69" t="s">
        <v>116</v>
      </c>
      <c r="B42" s="77" t="s">
        <v>41</v>
      </c>
      <c r="C42" s="92">
        <f>E37</f>
        <v>0</v>
      </c>
      <c r="D42" s="79" t="s">
        <v>59</v>
      </c>
      <c r="E42" s="67"/>
      <c r="G42" s="66"/>
      <c r="H42" s="66"/>
      <c r="L42" s="62"/>
      <c r="M42" s="250"/>
      <c r="N42" s="62"/>
      <c r="O42" s="62"/>
    </row>
    <row r="43" spans="1:15" ht="18.75" customHeight="1">
      <c r="A43" s="69" t="s">
        <v>117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250"/>
      <c r="N43" s="62"/>
      <c r="O43" s="62"/>
    </row>
    <row r="44" spans="1:15" ht="30" customHeight="1">
      <c r="A44" s="69" t="s">
        <v>118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250"/>
      <c r="N44" s="62"/>
      <c r="O44" s="62"/>
    </row>
    <row r="45" spans="1:15" ht="18.75">
      <c r="A45" s="72" t="s">
        <v>120</v>
      </c>
      <c r="B45" s="76" t="s">
        <v>54</v>
      </c>
      <c r="C45" s="95">
        <f>IF(E45&gt;0,"Предоставляется",0)</f>
        <v>0</v>
      </c>
      <c r="D45" s="95" t="s">
        <v>55</v>
      </c>
      <c r="E45" s="94"/>
      <c r="F45" s="93" t="s">
        <v>166</v>
      </c>
      <c r="G45" s="65"/>
      <c r="H45" s="65"/>
      <c r="L45" s="62"/>
      <c r="M45" s="250"/>
      <c r="N45" s="62"/>
      <c r="O45" s="62"/>
    </row>
    <row r="46" spans="1:15" ht="18.75" customHeight="1">
      <c r="A46" s="72" t="s">
        <v>121</v>
      </c>
      <c r="B46" s="77" t="s">
        <v>37</v>
      </c>
      <c r="C46" s="89"/>
      <c r="D46" s="93" t="s">
        <v>167</v>
      </c>
      <c r="E46" s="67"/>
      <c r="G46" s="66"/>
      <c r="H46" s="66"/>
      <c r="L46" s="62"/>
      <c r="M46" s="250"/>
      <c r="N46" s="62"/>
      <c r="O46" s="62"/>
    </row>
    <row r="47" spans="1:15" ht="18.75" customHeight="1">
      <c r="A47" s="72" t="s">
        <v>122</v>
      </c>
      <c r="B47" s="77" t="s">
        <v>38</v>
      </c>
      <c r="C47" s="90"/>
      <c r="D47" s="93" t="s">
        <v>165</v>
      </c>
      <c r="E47" s="67"/>
      <c r="G47" s="66"/>
      <c r="H47" s="66"/>
      <c r="L47" s="62"/>
      <c r="M47" s="250"/>
      <c r="N47" s="62"/>
      <c r="O47" s="62"/>
    </row>
    <row r="48" spans="1:15" ht="18.75" customHeight="1">
      <c r="A48" s="72" t="s">
        <v>123</v>
      </c>
      <c r="B48" s="77" t="s">
        <v>39</v>
      </c>
      <c r="C48" s="92">
        <f>IF(E45-C47&lt;0,0,E45-C47)</f>
        <v>0</v>
      </c>
      <c r="D48" s="79" t="s">
        <v>59</v>
      </c>
      <c r="E48" s="67"/>
      <c r="G48" s="66"/>
      <c r="H48" s="66"/>
      <c r="L48" s="62"/>
      <c r="M48" s="250"/>
      <c r="N48" s="62"/>
      <c r="O48" s="62"/>
    </row>
    <row r="49" spans="1:15" ht="18.75" customHeight="1">
      <c r="A49" s="72" t="s">
        <v>124</v>
      </c>
      <c r="B49" s="77" t="s">
        <v>40</v>
      </c>
      <c r="C49" s="92">
        <f>E45</f>
        <v>0</v>
      </c>
      <c r="D49" s="79" t="s">
        <v>59</v>
      </c>
      <c r="E49" s="67"/>
      <c r="G49" s="66"/>
      <c r="H49" s="66"/>
      <c r="L49" s="62"/>
      <c r="M49" s="250"/>
      <c r="N49" s="62"/>
      <c r="O49" s="62"/>
    </row>
    <row r="50" spans="1:15" ht="18.75" customHeight="1">
      <c r="A50" s="72" t="s">
        <v>125</v>
      </c>
      <c r="B50" s="77" t="s">
        <v>41</v>
      </c>
      <c r="C50" s="92">
        <f>E45</f>
        <v>0</v>
      </c>
      <c r="D50" s="79" t="s">
        <v>59</v>
      </c>
      <c r="E50" s="67"/>
      <c r="G50" s="66"/>
      <c r="H50" s="66"/>
      <c r="L50" s="62"/>
      <c r="M50" s="250"/>
      <c r="N50" s="62"/>
      <c r="O50" s="62"/>
    </row>
    <row r="51" spans="1:15" ht="18.75" customHeight="1">
      <c r="A51" s="72" t="s">
        <v>126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250"/>
      <c r="N51" s="62"/>
      <c r="O51" s="62"/>
    </row>
    <row r="52" spans="1:15" ht="29.25" customHeight="1">
      <c r="A52" s="72" t="s">
        <v>127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250"/>
      <c r="N52" s="62"/>
      <c r="O52" s="62"/>
    </row>
    <row r="53" spans="1:15" ht="18.75">
      <c r="A53" s="72" t="s">
        <v>128</v>
      </c>
      <c r="B53" s="76" t="s">
        <v>56</v>
      </c>
      <c r="C53" s="95">
        <f>IF(E53&gt;0,"Предоставляется",0)</f>
        <v>0</v>
      </c>
      <c r="D53" s="95" t="s">
        <v>55</v>
      </c>
      <c r="E53" s="94"/>
      <c r="F53" s="93" t="s">
        <v>166</v>
      </c>
      <c r="G53" s="65"/>
      <c r="H53" s="65"/>
      <c r="L53" s="62"/>
      <c r="M53" s="250"/>
      <c r="N53" s="62"/>
      <c r="O53" s="62"/>
    </row>
    <row r="54" spans="1:15" ht="18.75" customHeight="1">
      <c r="A54" s="72" t="s">
        <v>129</v>
      </c>
      <c r="B54" s="74" t="s">
        <v>37</v>
      </c>
      <c r="C54" s="97"/>
      <c r="D54" s="93" t="s">
        <v>167</v>
      </c>
      <c r="E54" s="68"/>
      <c r="F54" s="88"/>
      <c r="G54" s="63"/>
      <c r="H54" s="63"/>
      <c r="L54" s="62"/>
      <c r="M54" s="250"/>
      <c r="N54" s="62"/>
      <c r="O54" s="62"/>
    </row>
    <row r="55" spans="1:15" ht="18.75" customHeight="1">
      <c r="A55" s="72" t="s">
        <v>130</v>
      </c>
      <c r="B55" s="74" t="s">
        <v>38</v>
      </c>
      <c r="C55" s="85"/>
      <c r="D55" s="93" t="s">
        <v>165</v>
      </c>
      <c r="E55" s="68"/>
      <c r="G55" s="63"/>
      <c r="H55" s="63"/>
      <c r="L55" s="62"/>
      <c r="M55" s="250"/>
      <c r="N55" s="62"/>
      <c r="O55" s="62"/>
    </row>
    <row r="56" spans="1:15" ht="18.75" customHeight="1">
      <c r="A56" s="72" t="s">
        <v>131</v>
      </c>
      <c r="B56" s="74" t="s">
        <v>39</v>
      </c>
      <c r="C56" s="92">
        <f>IF(E53-C55&lt;0,0,E53-C55)</f>
        <v>0</v>
      </c>
      <c r="D56" s="79" t="s">
        <v>59</v>
      </c>
      <c r="E56" s="68"/>
      <c r="G56" s="63"/>
      <c r="H56" s="63"/>
      <c r="L56" s="62"/>
      <c r="M56" s="250"/>
      <c r="N56" s="62"/>
      <c r="O56" s="62"/>
    </row>
    <row r="57" spans="1:15" ht="18.75" customHeight="1">
      <c r="A57" s="72" t="s">
        <v>132</v>
      </c>
      <c r="B57" s="74" t="s">
        <v>40</v>
      </c>
      <c r="C57" s="92">
        <f>E53</f>
        <v>0</v>
      </c>
      <c r="D57" s="79" t="s">
        <v>59</v>
      </c>
      <c r="E57" s="68"/>
      <c r="G57" s="63"/>
      <c r="H57" s="63"/>
      <c r="L57" s="62"/>
      <c r="M57" s="250"/>
      <c r="N57" s="62"/>
      <c r="O57" s="62"/>
    </row>
    <row r="58" spans="1:15" ht="18.75" customHeight="1">
      <c r="A58" s="72" t="s">
        <v>133</v>
      </c>
      <c r="B58" s="74" t="s">
        <v>41</v>
      </c>
      <c r="C58" s="92">
        <f>E53</f>
        <v>0</v>
      </c>
      <c r="D58" s="79" t="s">
        <v>59</v>
      </c>
      <c r="E58" s="68"/>
      <c r="G58" s="63"/>
      <c r="H58" s="63"/>
      <c r="L58" s="62"/>
      <c r="M58" s="250"/>
      <c r="N58" s="62"/>
      <c r="O58" s="62"/>
    </row>
    <row r="59" spans="1:15" ht="18.75" customHeight="1">
      <c r="A59" s="72" t="s">
        <v>134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250"/>
      <c r="N59" s="62"/>
      <c r="O59" s="62"/>
    </row>
    <row r="60" spans="1:15" ht="33.75" customHeight="1">
      <c r="A60" s="72" t="s">
        <v>135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250"/>
      <c r="N60" s="62"/>
      <c r="O60" s="62"/>
    </row>
    <row r="61" spans="1:15" ht="15.75">
      <c r="A61" s="72" t="s">
        <v>136</v>
      </c>
      <c r="B61" s="76" t="s">
        <v>77</v>
      </c>
      <c r="C61" s="95">
        <f>IF(E61&gt;0,"Предоставляется",0)</f>
        <v>0</v>
      </c>
      <c r="D61" s="95" t="s">
        <v>55</v>
      </c>
      <c r="E61" s="94"/>
      <c r="F61" s="93" t="s">
        <v>166</v>
      </c>
      <c r="G61" s="65"/>
      <c r="H61" s="65"/>
    </row>
    <row r="62" spans="1:15" ht="15.75" customHeight="1">
      <c r="A62" s="72" t="s">
        <v>137</v>
      </c>
      <c r="B62" s="74" t="s">
        <v>37</v>
      </c>
      <c r="C62" s="97"/>
      <c r="D62" s="93" t="s">
        <v>167</v>
      </c>
      <c r="E62" s="68"/>
      <c r="G62" s="63"/>
      <c r="H62" s="63"/>
    </row>
    <row r="63" spans="1:15" ht="15.75" customHeight="1">
      <c r="A63" s="72" t="s">
        <v>138</v>
      </c>
      <c r="B63" s="74" t="s">
        <v>38</v>
      </c>
      <c r="C63" s="85"/>
      <c r="D63" s="93" t="s">
        <v>165</v>
      </c>
      <c r="E63" s="68"/>
      <c r="G63" s="63"/>
      <c r="H63" s="63"/>
    </row>
    <row r="64" spans="1:15" ht="15.75" customHeight="1">
      <c r="A64" s="72" t="s">
        <v>139</v>
      </c>
      <c r="B64" s="74" t="s">
        <v>39</v>
      </c>
      <c r="C64" s="92">
        <f>IF(E61-C63&lt;0,0,E61-C63)</f>
        <v>0</v>
      </c>
      <c r="D64" s="79" t="s">
        <v>59</v>
      </c>
      <c r="E64" s="68"/>
      <c r="G64" s="63"/>
      <c r="H64" s="63"/>
    </row>
    <row r="65" spans="1:8" ht="15.75" customHeight="1">
      <c r="A65" s="72" t="s">
        <v>140</v>
      </c>
      <c r="B65" s="74" t="s">
        <v>40</v>
      </c>
      <c r="C65" s="92">
        <f>E61</f>
        <v>0</v>
      </c>
      <c r="D65" s="79" t="s">
        <v>59</v>
      </c>
      <c r="E65" s="68"/>
      <c r="G65" s="63"/>
      <c r="H65" s="63"/>
    </row>
    <row r="66" spans="1:8" ht="15.75" customHeight="1">
      <c r="A66" s="72" t="s">
        <v>141</v>
      </c>
      <c r="B66" s="74" t="s">
        <v>41</v>
      </c>
      <c r="C66" s="92">
        <f>E61</f>
        <v>0</v>
      </c>
      <c r="D66" s="79" t="s">
        <v>59</v>
      </c>
      <c r="E66" s="68"/>
      <c r="G66" s="63"/>
      <c r="H66" s="63"/>
    </row>
    <row r="67" spans="1:8" ht="15.75" customHeight="1">
      <c r="A67" s="72" t="s">
        <v>142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143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144</v>
      </c>
      <c r="B69" s="76" t="s">
        <v>78</v>
      </c>
      <c r="C69" s="95">
        <f>IF(E69&gt;0,"Предоставляется",0)</f>
        <v>0</v>
      </c>
      <c r="D69" s="95" t="s">
        <v>55</v>
      </c>
      <c r="E69" s="94"/>
      <c r="F69" s="93" t="s">
        <v>166</v>
      </c>
      <c r="G69" s="65"/>
      <c r="H69" s="65"/>
    </row>
    <row r="70" spans="1:8" ht="15.75" customHeight="1">
      <c r="A70" s="72" t="s">
        <v>145</v>
      </c>
      <c r="B70" s="74" t="s">
        <v>37</v>
      </c>
      <c r="C70" s="97"/>
      <c r="D70" s="93" t="s">
        <v>167</v>
      </c>
      <c r="E70" s="68"/>
      <c r="G70" s="63"/>
      <c r="H70" s="63"/>
    </row>
    <row r="71" spans="1:8" ht="15.75" customHeight="1">
      <c r="A71" s="72" t="s">
        <v>146</v>
      </c>
      <c r="B71" s="74" t="s">
        <v>38</v>
      </c>
      <c r="C71" s="85"/>
      <c r="D71" s="93" t="s">
        <v>165</v>
      </c>
      <c r="E71" s="68"/>
      <c r="G71" s="63"/>
      <c r="H71" s="63"/>
    </row>
    <row r="72" spans="1:8" ht="15.75" customHeight="1">
      <c r="A72" s="72" t="s">
        <v>147</v>
      </c>
      <c r="B72" s="74" t="s">
        <v>39</v>
      </c>
      <c r="C72" s="92">
        <f>IF(E69-C71&lt;0,0,E69-C71)</f>
        <v>0</v>
      </c>
      <c r="D72" s="79" t="s">
        <v>59</v>
      </c>
      <c r="E72" s="68"/>
      <c r="G72" s="63"/>
      <c r="H72" s="63"/>
    </row>
    <row r="73" spans="1:8" ht="15.75" customHeight="1">
      <c r="A73" s="72" t="s">
        <v>148</v>
      </c>
      <c r="B73" s="74" t="s">
        <v>40</v>
      </c>
      <c r="C73" s="92">
        <f>E69</f>
        <v>0</v>
      </c>
      <c r="D73" s="79" t="s">
        <v>59</v>
      </c>
      <c r="E73" s="68"/>
      <c r="G73" s="63"/>
      <c r="H73" s="63"/>
    </row>
    <row r="74" spans="1:8" ht="15.75" customHeight="1">
      <c r="A74" s="72" t="s">
        <v>149</v>
      </c>
      <c r="B74" s="74" t="s">
        <v>41</v>
      </c>
      <c r="C74" s="92">
        <f>E69</f>
        <v>0</v>
      </c>
      <c r="D74" s="79" t="s">
        <v>59</v>
      </c>
      <c r="E74" s="68"/>
      <c r="G74" s="63"/>
      <c r="H74" s="63"/>
    </row>
    <row r="75" spans="1:8" ht="15.75" customHeight="1">
      <c r="A75" s="72" t="s">
        <v>150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151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152</v>
      </c>
      <c r="B77" s="76" t="s">
        <v>79</v>
      </c>
      <c r="C77" s="95">
        <f>IF(E77&gt;0,"Предоставляется",0)</f>
        <v>0</v>
      </c>
      <c r="D77" s="95" t="s">
        <v>80</v>
      </c>
      <c r="E77" s="94"/>
      <c r="F77" s="93" t="s">
        <v>166</v>
      </c>
      <c r="G77" s="65"/>
      <c r="H77" s="65"/>
    </row>
    <row r="78" spans="1:8" ht="15.75" customHeight="1">
      <c r="A78" s="72" t="s">
        <v>153</v>
      </c>
      <c r="B78" s="74" t="s">
        <v>37</v>
      </c>
      <c r="C78" s="97"/>
      <c r="D78" s="93" t="s">
        <v>168</v>
      </c>
      <c r="E78" s="63"/>
      <c r="G78" s="63"/>
      <c r="H78" s="63"/>
    </row>
    <row r="79" spans="1:8" ht="15.75" customHeight="1">
      <c r="A79" s="72" t="s">
        <v>154</v>
      </c>
      <c r="B79" s="74" t="s">
        <v>38</v>
      </c>
      <c r="C79" s="85"/>
      <c r="D79" s="93" t="s">
        <v>165</v>
      </c>
      <c r="E79" s="63"/>
      <c r="G79" s="63"/>
      <c r="H79" s="63"/>
    </row>
    <row r="80" spans="1:8" ht="15.75" customHeight="1">
      <c r="A80" s="72" t="s">
        <v>155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156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157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158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159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E17" sqref="D17:E17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169</v>
      </c>
      <c r="B2" s="58" t="s">
        <v>45</v>
      </c>
      <c r="C2" s="104">
        <v>0</v>
      </c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170</v>
      </c>
      <c r="B3" s="58" t="s">
        <v>46</v>
      </c>
      <c r="C3" s="104">
        <v>25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171</v>
      </c>
      <c r="B4" s="58" t="s">
        <v>47</v>
      </c>
      <c r="C4" s="105">
        <v>136897.56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2024-03-28T03:26:25Z</dcterms:modified>
</cp:coreProperties>
</file>