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1" i="1" l="1"/>
  <c r="A114" i="1"/>
  <c r="A110" i="1"/>
  <c r="A115" i="1"/>
  <c r="A119" i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83" i="1"/>
  <c r="H175" i="1"/>
  <c r="F186" i="1"/>
  <c r="H183" i="1"/>
  <c r="H177" i="1"/>
  <c r="F177" i="1"/>
  <c r="F175" i="1"/>
  <c r="F171" i="1"/>
  <c r="H171" i="1"/>
  <c r="F168" i="1"/>
  <c r="H168" i="1"/>
  <c r="F167" i="1"/>
  <c r="H167" i="1"/>
  <c r="H166" i="1"/>
  <c r="F166" i="1"/>
  <c r="F165" i="1"/>
  <c r="H165" i="1"/>
  <c r="H169" i="1"/>
  <c r="H180" i="1"/>
  <c r="F173" i="1"/>
  <c r="F179" i="1"/>
  <c r="F181" i="1"/>
  <c r="H164" i="1"/>
  <c r="F187" i="1"/>
  <c r="F164" i="1"/>
  <c r="H172" i="1"/>
  <c r="F172" i="1"/>
  <c r="F169" i="1"/>
  <c r="F180" i="1"/>
  <c r="F176" i="1"/>
  <c r="H173" i="1"/>
  <c r="H176" i="1"/>
  <c r="F178" i="1"/>
  <c r="H178" i="1"/>
  <c r="H170" i="1"/>
  <c r="F182" i="1"/>
  <c r="H179" i="1"/>
  <c r="H185" i="1"/>
  <c r="H181" i="1"/>
  <c r="F185" i="1"/>
  <c r="F170" i="1"/>
  <c r="F184" i="1"/>
  <c r="H174" i="1"/>
  <c r="H187" i="1"/>
  <c r="H182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<sst xmlns="http://schemas.openxmlformats.org/spreadsheetml/2006/main" count="566" uniqueCount="212">
  <si>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</si>
  <si>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</si>
  <si>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</si>
  <si>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</si>
  <si>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</si>
  <si>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</si>
  <si>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</si>
  <si>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</si>
  <si>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</si>
  <si>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</si>
  <si>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</si>
  <si>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</si>
  <si>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</si>
  <si>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</si>
  <si>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</si>
  <si>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</si>
  <si>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</si>
  <si>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</si>
  <si>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</si>
  <si>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</si>
  <si>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</si>
  <si>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</si>
  <si>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</si>
  <si>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</si>
  <si>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</si>
  <si>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</si>
  <si>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</si>
  <si>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</si>
  <si>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</si>
  <si>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</si>
  <si>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</si>
  <si>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</si>
  <si>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</si>
  <si>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</si>
  <si>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</si>
  <si>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</si>
  <si>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</si>
  <si>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</si>
  <si>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</si>
  <si>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</si>
  <si>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</si>
  <si>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</si>
  <si>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</si>
  <si>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</si>
  <si>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</si>
  <si>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</si>
  <si>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</si>
  <si>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</si>
  <si>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</si>
  <si>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</si>
  <si>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</si>
  <si>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</si>
  <si>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</si>
  <si>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</si>
  <si>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</si>
  <si>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</si>
  <si>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</si>
  <si>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</si>
  <si>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</si>
  <si>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</si>
  <si>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</si>
  <si>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</si>
  <si>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</si>
  <si>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</si>
  <si>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</si>
  <si>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</si>
  <si>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</si>
  <si>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</si>
  <si>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</si>
  <si>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</si>
  <si>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</si>
  <si>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</si>
  <si>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</si>
  <si>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</si>
  <si>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</si>
  <si>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</si>
  <si>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</si>
  <si>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</si>
  <si>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</si>
  <si>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</si>
  <si>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</si>
  <si>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</si>
  <si>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</si>
  <si>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</si>
  <si>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</si>
  <si>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</si>
  <si>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</si>
  <si>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</si>
  <si>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</si>
  <si>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</si>
  <si>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</si>
  <si>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</si>
  <si>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</si>
  <si>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</si>
  <si>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</si>
  <si>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</si>
  <si>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</si>
  <si>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</si>
  <si>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</si>
  <si>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</si>
  <si>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</si>
  <si>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</si>
  <si>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</si>
  <si>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</si>
  <si>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</si>
  <si>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</si>
  <si>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</si>
  <si>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</si>
  <si>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</si>
  <si>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</si>
  <si>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</si>
  <si>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</si>
  <si>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</si>
  <si>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</si>
  <si>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</si>
  <si>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</si>
  <si>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</si>
  <si>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</si>
  <si>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</si>
  <si>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</si>
  <si>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</si>
  <si>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</si>
  <si>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</si>
  <si>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</si>
  <si>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</si>
  <si>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</si>
  <si>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</si>
  <si>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</si>
  <si>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</si>
  <si>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</si>
  <si>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</si>
  <si>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</si>
  <si>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</si>
  <si>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</si>
  <si>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</si>
  <si>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</si>
  <si>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</si>
  <si>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</si>
  <si>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</si>
  <si>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</si>
  <si>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</si>
  <si>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</si>
  <si>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</si>
  <si>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</si>
  <si>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</si>
  <si>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</si>
  <si>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</si>
  <si>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</si>
  <si>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</si>
  <si>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</si>
  <si>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</si>
  <si>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</si>
  <si>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</si>
  <si>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</si>
  <si>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</si>
  <si>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</si>
  <si>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</si>
  <si>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</si>
  <si>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</si>
  <si>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</si>
  <si>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</si>
  <si>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</si>
  <si>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</si>
  <si>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</si>
  <si>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</si>
  <si>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</si>
  <si>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</si>
  <si>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</si>
  <si>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</si>
  <si>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</si>
  <si>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</si>
  <si>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</si>
  <si>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</si>
  <si>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</si>
  <si>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</si>
  <si>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10</t>
  </si>
  <si>
    <t>Отчет об исполнении договора управления многоквартирного дома 
Профсоюзная, 10 в части текущего ремонта</t>
  </si>
  <si>
    <t>Работы (услуги) по управлению многоквартирным домом</t>
  </si>
  <si>
    <t>Техническое обслуживание охранной сигнализации.</t>
  </si>
  <si>
    <t>Техническое освидетельствование лифтов.</t>
  </si>
  <si>
    <t>ежемесячно</t>
  </si>
  <si>
    <t>ежегодно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</si>
  <si>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</si>
  <si>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</si>
  <si>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</si>
  <si>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</si>
  <si>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ремонт подъезда (со стороны незадымляемой лестницы)</t>
  </si>
  <si>
    <t xml:space="preserve">  - 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</si>
  <si>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</si>
  <si>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</si>
  <si>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</si>
  <si>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</si>
  <si>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</si>
  <si>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</si>
  <si>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</si>
  <si>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</si>
  <si>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</si>
  <si>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</si>
  <si>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</si>
  <si>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</si>
  <si>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Механизированная уборка и вывоз снега с придомовой территории.</t>
  </si>
  <si>
    <t>АВР 1/22 от 15.03.2022, счет №10 от 15.03.2022</t>
  </si>
  <si>
    <t>Перекатра пожарных рукавов и испытания пожарных кранов (14 шт.).</t>
  </si>
  <si>
    <t>АВР 2/22 от 30.06.2022</t>
  </si>
  <si>
    <t>Приобретение и замена обратного клапона в ИТП.</t>
  </si>
  <si>
    <t>Замена блока питания и датчика давления в ИТП.</t>
  </si>
  <si>
    <t>АВР 3/22 от 25.09.2022, Решение, счет №10 от 17.08.2022, №326 от 26.07.2022</t>
  </si>
  <si>
    <t>АВР 4/22 от 30.08.2022, Решение, счет №6862 от 21.07.2022</t>
  </si>
  <si>
    <t>Монтажные работы системы видеонаблюдения.</t>
  </si>
  <si>
    <t>АВР 5/22 от 21.10.2022, Решение</t>
  </si>
  <si>
    <t xml:space="preserve">АВР 6/22 от 19.06.2022, счет №2348 от 16.06.2022 </t>
  </si>
  <si>
    <t>АВР 7/22 от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</si>
</sst>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8" fillId="0" borderId="0"/>
    <xf numFmtId="0" fontId="7" fillId="0" borderId="0"/>
  </cellStyleXfs>
  <cellXfs count="19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4" fontId="21" fillId="0" borderId="0" xfId="0" applyNumberFormat="1" applyFont="1" applyFill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9" fillId="0" borderId="0" xfId="5" applyNumberFormat="1" applyFont="1" applyFill="1" applyBorder="1" applyAlignment="1"/>
    <xf numFmtId="0" fontId="29" fillId="0" borderId="0" xfId="5" applyFont="1" applyFill="1" applyBorder="1" applyAlignment="1">
      <alignment horizontal="center"/>
    </xf>
    <xf numFmtId="0" fontId="29" fillId="0" borderId="0" xfId="5" applyFont="1" applyFill="1" applyBorder="1" applyAlignment="1"/>
    <xf numFmtId="0" fontId="0" fillId="0" borderId="0" xfId="0" applyFill="1" applyBorder="1"/>
    <xf numFmtId="0" fontId="14" fillId="0" borderId="0" xfId="2" applyFont="1" applyFill="1" applyBorder="1" applyAlignment="1"/>
    <xf numFmtId="0" fontId="14" fillId="0" borderId="0" xfId="5" applyFont="1" applyFill="1" applyBorder="1"/>
    <xf numFmtId="2" fontId="22" fillId="0" borderId="0" xfId="0" applyNumberFormat="1" applyFont="1" applyFill="1" applyBorder="1" applyAlignment="1">
      <alignment wrapText="1"/>
    </xf>
    <xf numFmtId="0" fontId="16" fillId="0" borderId="0" xfId="4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1" fontId="15" fillId="0" borderId="0" xfId="5" applyNumberFormat="1" applyFill="1" applyBorder="1" applyAlignment="1">
      <alignment horizontal="center"/>
    </xf>
    <xf numFmtId="0" fontId="12" fillId="0" borderId="0" xfId="2" applyFont="1" applyFill="1" applyBorder="1" applyAlignment="1"/>
    <xf numFmtId="0" fontId="12" fillId="0" borderId="0" xfId="7" applyFont="1" applyFill="1" applyBorder="1" applyAlignment="1">
      <alignment horizontal="center"/>
    </xf>
    <xf numFmtId="4" fontId="12" fillId="0" borderId="0" xfId="7" applyNumberFormat="1" applyFill="1" applyBorder="1" applyAlignment="1"/>
    <xf numFmtId="0" fontId="10" fillId="0" borderId="0" xfId="7" applyFont="1" applyFill="1" applyBorder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9" fillId="0" borderId="0" xfId="7" applyFont="1" applyFill="1" applyBorder="1"/>
    <xf numFmtId="4" fontId="0" fillId="0" borderId="0" xfId="0" applyNumberFormat="1" applyBorder="1" applyAlignment="1">
      <alignment horizontal="center"/>
    </xf>
    <xf numFmtId="4" fontId="31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7" fillId="0" borderId="0" xfId="9" applyNumberFormat="1" applyFill="1" applyBorder="1" applyAlignment="1">
      <alignment horizontal="center"/>
    </xf>
    <xf numFmtId="4" fontId="7" fillId="0" borderId="0" xfId="9" applyNumberFormat="1" applyFill="1" applyBorder="1" applyAlignment="1"/>
    <xf numFmtId="4" fontId="0" fillId="0" borderId="0" xfId="0" applyNumberFormat="1" applyFill="1"/>
    <xf numFmtId="0" fontId="15" fillId="0" borderId="0" xfId="5" applyFill="1" applyBorder="1" applyAlignment="1">
      <alignment horizontal="center"/>
    </xf>
    <xf numFmtId="4" fontId="15" fillId="0" borderId="0" xfId="5" applyNumberFormat="1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5" fillId="0" borderId="0" xfId="2" applyFont="1" applyFill="1" applyBorder="1" applyAlignment="1"/>
    <xf numFmtId="4" fontId="0" fillId="0" borderId="0" xfId="0" applyNumberFormat="1" applyFill="1" applyBorder="1"/>
    <xf numFmtId="0" fontId="2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2" fillId="0" borderId="0" xfId="5" applyFont="1" applyFill="1" applyBorder="1"/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0" fontId="1" fillId="0" borderId="0" xfId="5" applyFont="1" applyFill="1" applyBorder="1"/>
    <xf numFmtId="0" fontId="15" fillId="0" borderId="0" xfId="5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5" xfId="8"/>
    <cellStyle name="Обычный 3" xfId="2"/>
    <cellStyle name="Обычный 4" xfId="4"/>
    <cellStyle name="Обычный 4 2" xfId="6"/>
    <cellStyle name="Обычный 5" xfId="5"/>
    <cellStyle name="Обычный 5 2" xfId="9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0" sqref="A20:I2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8" t="s">
        <v>175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81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82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142208.04000000004</v>
      </c>
      <c r="K10" s="109"/>
      <c r="L10" s="179"/>
      <c r="M10" s="109"/>
      <c r="N10" s="109"/>
      <c r="O10" s="70" t="s">
        <v>83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1160030.6639999999</v>
      </c>
      <c r="K11" s="109"/>
      <c r="L11" s="179"/>
      <c r="M11" s="109"/>
      <c r="N11" s="109"/>
      <c r="O11" s="70" t="s">
        <v>84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920156.66399999999</v>
      </c>
      <c r="K12" s="109"/>
      <c r="L12" s="179"/>
      <c r="M12" s="109"/>
      <c r="N12" s="109"/>
      <c r="O12" s="70" t="s">
        <v>85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239874</v>
      </c>
      <c r="K13" s="109"/>
      <c r="L13" s="179"/>
      <c r="M13" s="109"/>
      <c r="N13" s="109"/>
      <c r="O13" s="70" t="s">
        <v>86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87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1140391.95</v>
      </c>
      <c r="K15" s="109"/>
      <c r="L15" s="179"/>
      <c r="M15" s="109"/>
      <c r="N15" s="109"/>
      <c r="O15" s="70" t="s">
        <v>88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1140391.95</v>
      </c>
      <c r="K16" s="109"/>
      <c r="L16" s="179"/>
      <c r="M16" s="109"/>
      <c r="N16" s="109"/>
      <c r="O16" s="70" t="s">
        <v>89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90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91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92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93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1140391.95</v>
      </c>
      <c r="K21" s="109"/>
      <c r="L21" s="179"/>
      <c r="M21" s="109"/>
      <c r="N21" s="109"/>
      <c r="O21" s="70" t="s">
        <v>94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95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96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161846.75399999996</v>
      </c>
      <c r="K24" s="109"/>
      <c r="L24" s="17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292166.52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135768.72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75320.399999999994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57569.760000000002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15351.96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104105.28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Работы (услуги) по управлению многоквартирным домом</v>
      </c>
      <c r="B35" s="163"/>
      <c r="C35" s="163"/>
      <c r="D35" s="163"/>
      <c r="E35" s="163"/>
      <c r="F35" s="168">
        <f>VLOOKUP(A35,ПТО!$A$39:$D$53,2,FALSE)</f>
        <v>239874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обслуживание охранной сигнализации.</v>
      </c>
      <c r="B43" s="163"/>
      <c r="C43" s="163"/>
      <c r="D43" s="163"/>
      <c r="E43" s="163"/>
      <c r="F43" s="168">
        <f>VLOOKUP(A43,ПТО!$A$2:$D$31,4,FALSE)</f>
        <v>12000</v>
      </c>
      <c r="G43" s="168"/>
      <c r="H43" s="19" t="str">
        <f>VLOOKUP(A43,ПТО!$A$2:$D$31,2,FALSE)</f>
        <v>ежемесячно</v>
      </c>
      <c r="I43" s="164">
        <f>VLOOKUP(A43,ПТО!$A$2:$D$31,3,FALSE)</f>
        <v>12</v>
      </c>
      <c r="J43" s="164"/>
      <c r="K43" s="109"/>
      <c r="L43" s="180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3" t="str">
        <f>ПТО!A3</f>
        <v>Техническое освидетельствование лифтов.</v>
      </c>
      <c r="B44" s="163"/>
      <c r="C44" s="163"/>
      <c r="D44" s="163"/>
      <c r="E44" s="163"/>
      <c r="F44" s="168">
        <f>VLOOKUP(A44,ПТО!$A$2:$D$31,4,FALSE)</f>
        <v>8200</v>
      </c>
      <c r="G44" s="168"/>
      <c r="H44" s="25" t="str">
        <f>VLOOKUP(A44,ПТО!$A$2:$D$31,2,FALSE)</f>
        <v>ежегодно</v>
      </c>
      <c r="I44" s="164">
        <f>VLOOKUP(A44,ПТО!$A$2:$D$31,3,FALSE)</f>
        <v>2</v>
      </c>
      <c r="J44" s="164"/>
      <c r="K44" s="109"/>
      <c r="L44" s="180"/>
      <c r="M44" s="116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3" t="str">
        <f>ПТО!A4</f>
        <v>Механизированная уборка и вывоз снега с придомовой территории.</v>
      </c>
      <c r="B45" s="163"/>
      <c r="C45" s="163"/>
      <c r="D45" s="163"/>
      <c r="E45" s="163"/>
      <c r="F45" s="168">
        <f>VLOOKUP(A45,ПТО!$A$2:$D$31,4,FALSE)</f>
        <v>7129</v>
      </c>
      <c r="G45" s="168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0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3" t="str">
        <f>ПТО!A5</f>
        <v>Замена блока питания и датчика давления в ИТП.</v>
      </c>
      <c r="B46" s="163"/>
      <c r="C46" s="163"/>
      <c r="D46" s="163"/>
      <c r="E46" s="163"/>
      <c r="F46" s="168">
        <f>VLOOKUP(A46,ПТО!$A$2:$D$31,4,FALSE)</f>
        <v>6500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0"/>
      <c r="M46" s="116"/>
      <c r="N46" s="109"/>
      <c r="O46" s="23" t="str">
        <f t="shared" si="1"/>
        <v>Замена блока питания и датчика давления в ИТП.</v>
      </c>
      <c r="R46" s="22" t="s">
        <v>72</v>
      </c>
    </row>
    <row r="47" spans="1:18" ht="51" customHeight="1" outlineLevel="1">
      <c r="A47" s="163" t="str">
        <f>ПТО!A6</f>
        <v>Приобретение и замена обратного клапона в ИТП.</v>
      </c>
      <c r="B47" s="163"/>
      <c r="C47" s="163"/>
      <c r="D47" s="163"/>
      <c r="E47" s="163"/>
      <c r="F47" s="168">
        <f>VLOOKUP(A47,ПТО!$A$2:$D$31,4,FALSE)</f>
        <v>6983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0"/>
      <c r="M47" s="116"/>
      <c r="N47" s="109"/>
      <c r="O47" s="23" t="str">
        <f t="shared" si="1"/>
        <v>Приобретение и замена обратного клапона в ИТП.</v>
      </c>
      <c r="R47" s="22" t="s">
        <v>72</v>
      </c>
    </row>
    <row r="48" spans="1:18" ht="51" customHeight="1" outlineLevel="1">
      <c r="A48" s="163" t="str">
        <f>ПТО!A7</f>
        <v>Монтажные работы системы видеонаблюдения.</v>
      </c>
      <c r="B48" s="163"/>
      <c r="C48" s="163"/>
      <c r="D48" s="163"/>
      <c r="E48" s="163"/>
      <c r="F48" s="168">
        <f>VLOOKUP(A48,ПТО!$A$2:$D$31,4,FALSE)</f>
        <v>1200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0"/>
      <c r="M48" s="116"/>
      <c r="N48" s="109"/>
      <c r="O48" s="23" t="str">
        <f t="shared" si="1"/>
        <v>Монтажные работы системы видеонаблюдения.</v>
      </c>
      <c r="R48" s="22" t="s">
        <v>72</v>
      </c>
    </row>
    <row r="49" spans="1:18" ht="51" customHeight="1" outlineLevel="1">
      <c r="A49" s="163" t="str">
        <f>ПТО!A8</f>
        <v>Перекатра пожарных рукавов и испытания пожарных кранов (14 шт.).</v>
      </c>
      <c r="B49" s="163"/>
      <c r="C49" s="163"/>
      <c r="D49" s="163"/>
      <c r="E49" s="163"/>
      <c r="F49" s="168">
        <f>VLOOKUP(A49,ПТО!$A$2:$D$31,4,FALSE)</f>
        <v>7000</v>
      </c>
      <c r="G49" s="168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0"/>
      <c r="M49" s="116"/>
      <c r="N49" s="109"/>
      <c r="O49" s="23" t="str">
        <f t="shared" si="1"/>
        <v>Перекатра пожарных рукавов и испытания пожарных кранов (14 шт.).</v>
      </c>
      <c r="R49" s="22" t="s">
        <v>72</v>
      </c>
    </row>
    <row r="50" spans="1:18" ht="51" hidden="1" customHeight="1" outlineLevel="1">
      <c r="A50" s="163">
        <f>ПТО!A9</f>
        <v>0</v>
      </c>
      <c r="B50" s="163"/>
      <c r="C50" s="163"/>
      <c r="D50" s="163"/>
      <c r="E50" s="163"/>
      <c r="F50" s="168" t="e">
        <f>VLOOKUP(A50,ПТО!$A$2:$D$31,4,FALSE)</f>
        <v>#N/A</v>
      </c>
      <c r="G50" s="168"/>
      <c r="H50" s="25" t="e">
        <f>VLOOKUP(A50,ПТО!$A$2:$D$31,2,FALSE)</f>
        <v>#N/A</v>
      </c>
      <c r="I50" s="164" t="e">
        <f>VLOOKUP(A50,ПТО!$A$2:$D$31,3,FALSE)</f>
        <v>#N/A</v>
      </c>
      <c r="J50" s="164"/>
      <c r="K50" s="109"/>
      <c r="L50" s="180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3">
        <f>ПТО!A10</f>
        <v>0</v>
      </c>
      <c r="B51" s="163"/>
      <c r="C51" s="163"/>
      <c r="D51" s="163"/>
      <c r="E51" s="163"/>
      <c r="F51" s="168" t="e">
        <f>VLOOKUP(A51,ПТО!$A$2:$D$31,4,FALSE)</f>
        <v>#N/A</v>
      </c>
      <c r="G51" s="168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0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3">
        <f>ПТО!A11</f>
        <v>0</v>
      </c>
      <c r="B52" s="163"/>
      <c r="C52" s="163"/>
      <c r="D52" s="163"/>
      <c r="E52" s="163"/>
      <c r="F52" s="168" t="e">
        <f>VLOOKUP(A52,ПТО!$A$2:$D$31,4,FALSE)</f>
        <v>#N/A</v>
      </c>
      <c r="G52" s="168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0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0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0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98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99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100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102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103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92350.07</v>
      </c>
      <c r="K83" s="109"/>
      <c r="L83" s="169"/>
      <c r="M83" s="109"/>
      <c r="N83" s="109"/>
      <c r="O83" s="70" t="s">
        <v>104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105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106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164604.70000000001</v>
      </c>
      <c r="K86" s="109"/>
      <c r="L86" s="169"/>
      <c r="M86" s="109"/>
      <c r="N86" s="109"/>
      <c r="O86" s="70" t="s">
        <v>107</v>
      </c>
    </row>
    <row r="87" spans="1:15" ht="18.75" customHeight="1" outlineLevel="1">
      <c r="A87" s="175" t="s">
        <v>27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108</v>
      </c>
    </row>
    <row r="88" spans="1:15" ht="18.75" customHeight="1" outlineLevel="1">
      <c r="A88" s="175" t="s">
        <v>28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109</v>
      </c>
    </row>
    <row r="89" spans="1:15" ht="18.75" customHeight="1" outlineLevel="1">
      <c r="A89" s="175" t="s">
        <v>29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110</v>
      </c>
    </row>
    <row r="90" spans="1:15" ht="18.75" customHeight="1" outlineLevel="1">
      <c r="A90" s="175" t="s">
        <v>30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4" t="s">
        <v>48</v>
      </c>
      <c r="B93" s="184"/>
      <c r="C93" s="184"/>
      <c r="D93" s="185" t="s">
        <v>49</v>
      </c>
      <c r="E93" s="185"/>
      <c r="F93" s="10" t="s">
        <v>50</v>
      </c>
      <c r="G93" s="184" t="s">
        <v>51</v>
      </c>
      <c r="H93" s="184"/>
      <c r="I93" s="184"/>
      <c r="J93" s="184"/>
      <c r="K93" s="109"/>
      <c r="L93" s="109"/>
      <c r="M93" s="109"/>
      <c r="N93" s="109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6">
        <f>IF(VLOOKUP("эл",АО,3,FALSE)&gt;0,VLOOKUP("эл",АО,3,FALSE),0)</f>
        <v>0</v>
      </c>
      <c r="E94" s="166"/>
      <c r="F94" s="13">
        <f>IF(VLOOKUP("эл",АО,3,FALSE)&gt;0,VLOOKUP("эл",АО,4,FALSE),0)</f>
        <v>0</v>
      </c>
      <c r="G94" s="167">
        <f>VLOOKUP("эл",АО,5,FALSE)</f>
        <v>0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hidden="1" outlineLevel="2">
      <c r="A95" s="182">
        <f>IF(VLOOKUP("эл",АО,3,FALSE)&gt;0,VLOOKUP("эл1",АО,2,FALSE),0)</f>
        <v>0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0</v>
      </c>
      <c r="L95" s="170"/>
      <c r="O95" s="1" t="s">
        <v>112</v>
      </c>
    </row>
    <row r="96" spans="1:15" hidden="1" outlineLevel="2">
      <c r="A96" s="182">
        <f>IF(VLOOKUP("эл",АО,3,FALSE)&gt;0,VLOOKUP("эл2",АО,2,FALSE),0)</f>
        <v>0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0</v>
      </c>
      <c r="L96" s="170"/>
      <c r="O96" s="1" t="s">
        <v>113</v>
      </c>
    </row>
    <row r="97" spans="1:15" hidden="1" outlineLevel="2">
      <c r="A97" s="182">
        <f>IF(VLOOKUP("эл",АО,3,FALSE)&gt;0,VLOOKUP("эл3",АО,2,FALSE),0)</f>
        <v>0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114</v>
      </c>
    </row>
    <row r="98" spans="1:15" ht="37.5" hidden="1" customHeight="1" outlineLevel="2">
      <c r="A98" s="182">
        <f>IF(VLOOKUP("эл",АО,3,FALSE)&gt;0,VLOOKUP("эл4",АО,2,FALSE),0)</f>
        <v>0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0</v>
      </c>
      <c r="L98" s="170"/>
      <c r="O98" s="1" t="s">
        <v>115</v>
      </c>
    </row>
    <row r="99" spans="1:15" hidden="1" outlineLevel="2">
      <c r="A99" s="182">
        <f>IF(VLOOKUP("эл",АО,3,FALSE)&gt;0,VLOOKUP("эл5",АО,2,FALSE),0)</f>
        <v>0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0</v>
      </c>
      <c r="L99" s="170"/>
      <c r="O99" s="1" t="s">
        <v>116</v>
      </c>
    </row>
    <row r="100" spans="1:15" ht="39" hidden="1" customHeight="1" outlineLevel="2">
      <c r="A100" s="182">
        <f>IF(VLOOKUP("эл",АО,3,FALSE)&gt;0,VLOOKUP("эл6",АО,2,FALSE),0)</f>
        <v>0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117</v>
      </c>
    </row>
    <row r="101" spans="1:15" ht="34.5" hidden="1" customHeight="1" outlineLevel="2">
      <c r="A101" s="182">
        <f>IF(VLOOKUP("эл",АО,3,FALSE)&gt;0,VLOOKUP("эл7",АО,2,FALSE),0)</f>
        <v>0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55682.310000000019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3712.5203671414956</v>
      </c>
      <c r="L103" s="170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54395.18</v>
      </c>
      <c r="L104" s="170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1287.1300000000192</v>
      </c>
      <c r="L105" s="170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55682.310000000019</v>
      </c>
      <c r="L106" s="170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55682.310000000019</v>
      </c>
      <c r="L107" s="170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102248.29000000001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5983.99</v>
      </c>
      <c r="L111" s="170"/>
      <c r="O111" s="1" t="s">
        <v>129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98900.25</v>
      </c>
      <c r="L112" s="170"/>
      <c r="O112" s="1" t="s">
        <v>130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3348.0400000000081</v>
      </c>
      <c r="L113" s="170"/>
      <c r="O113" s="1" t="s">
        <v>131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102248.29000000001</v>
      </c>
      <c r="L114" s="170"/>
      <c r="O114" s="1" t="s">
        <v>132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102248.29000000001</v>
      </c>
      <c r="L115" s="170"/>
      <c r="O115" s="1" t="s">
        <v>133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135</v>
      </c>
    </row>
    <row r="118" spans="1:15" ht="32.25" customHeight="1" outlineLevel="1">
      <c r="A118" s="165" t="str">
        <f>IF(VLOOKUP("тко",АО,3,FALSE)&gt;0,"Обращение с ТКО",0)</f>
        <v>Обращение с ТКО</v>
      </c>
      <c r="B118" s="165"/>
      <c r="C118" s="165"/>
      <c r="D118" s="166" t="str">
        <f>IF(VLOOKUP("тко",АО,3,FALSE)&gt;0,VLOOKUP("тко",АО,3,FALSE),0)</f>
        <v>Предоставляется</v>
      </c>
      <c r="E118" s="166"/>
      <c r="F118" s="13" t="str">
        <f>IF(VLOOKUP("тко",АО,3,FALSE)&gt;0,VLOOKUP("тко",АО,4,FALSE),0)</f>
        <v>куб.м.</v>
      </c>
      <c r="G118" s="167">
        <f>VLOOKUP("тко",АО,5,FALSE)</f>
        <v>146044.97</v>
      </c>
      <c r="H118" s="166"/>
      <c r="I118" s="166"/>
      <c r="J118" s="166"/>
      <c r="L118" s="47"/>
    </row>
    <row r="119" spans="1:15" ht="32.25" customHeight="1" outlineLevel="2">
      <c r="A119" s="161" t="str">
        <f t="shared" ref="A119:A125" si="8">IF(VLOOKUP("тко",АО,3,FALSE)&gt;0,VLOOKUP(O119,АО,2,FALSE),0)</f>
        <v>Общий объем потребления, нат. показ.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287.35155910950505</v>
      </c>
      <c r="L119" s="47"/>
      <c r="O119" s="1" t="s">
        <v>137</v>
      </c>
    </row>
    <row r="120" spans="1:15" ht="32.25" customHeight="1" outlineLevel="2">
      <c r="A120" s="161" t="str">
        <f t="shared" si="8"/>
        <v>Оплачено потребителями, руб.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143079.67999999996</v>
      </c>
      <c r="L120" s="47"/>
      <c r="O120" s="1" t="s">
        <v>138</v>
      </c>
    </row>
    <row r="121" spans="1:15" ht="32.25" customHeight="1" outlineLevel="2">
      <c r="A121" s="161" t="str">
        <f t="shared" si="8"/>
        <v>Задолженность потребителей, руб.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2965.2900000000373</v>
      </c>
      <c r="L121" s="47"/>
      <c r="O121" s="1" t="s">
        <v>139</v>
      </c>
    </row>
    <row r="122" spans="1:15" ht="32.25" customHeight="1" outlineLevel="2">
      <c r="A122" s="161" t="str">
        <f t="shared" si="8"/>
        <v>Начислено поставщиком (поставщиками) коммунального ресурса, руб.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146044.97</v>
      </c>
      <c r="L122" s="47"/>
      <c r="O122" s="1" t="s">
        <v>140</v>
      </c>
    </row>
    <row r="123" spans="1:15" ht="32.25" customHeight="1" outlineLevel="2">
      <c r="A123" s="161" t="str">
        <f t="shared" si="8"/>
        <v>Оплачено поставщику (поставщикам) коммунального ресурса, руб.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146044.97</v>
      </c>
      <c r="L123" s="47"/>
      <c r="O123" s="1" t="s">
        <v>141</v>
      </c>
    </row>
    <row r="124" spans="1:15" ht="32.25" customHeight="1" outlineLevel="2">
      <c r="A124" s="161" t="str">
        <f t="shared" si="8"/>
        <v>Задолженность перед поставщиком (поставщиками) коммунального ресурса, руб.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61" t="str">
        <f t="shared" si="8"/>
        <v>Размер пени и штрафов, уплаченных поставщику (поставщикам) коммунального ресурса, руб.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6" t="str">
        <f>IF(VLOOKUP("гвс",АО,3,FALSE)&gt;0,VLOOKUP("гвс",АО,3,FALSE),0)</f>
        <v>Предоставляется</v>
      </c>
      <c r="E126" s="166"/>
      <c r="F126" s="13" t="str">
        <f>IF(VLOOKUP("гвс",АО,3,FALSE)&gt;0,VLOOKUP("гвс",АО,4,FALSE),0)</f>
        <v>куб.м.</v>
      </c>
      <c r="G126" s="167">
        <f>VLOOKUP("гвс",АО,5,FALSE)</f>
        <v>224600.90000000008</v>
      </c>
      <c r="H126" s="166"/>
      <c r="I126" s="166"/>
      <c r="J126" s="166"/>
      <c r="L126" s="47"/>
    </row>
    <row r="127" spans="1:15" ht="32.25" customHeight="1" outlineLevel="2">
      <c r="A127" s="161" t="str">
        <f t="shared" ref="A127:A133" si="10">IF(VLOOKUP("гвс",АО,3,FALSE)&gt;0,VLOOKUP(O127,АО,2,FALSE),0)</f>
        <v>Общий объем потребления, нат. показ.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2271.471341738189</v>
      </c>
      <c r="L127" s="47"/>
      <c r="O127" s="1" t="s">
        <v>145</v>
      </c>
    </row>
    <row r="128" spans="1:15" ht="32.25" customHeight="1" outlineLevel="2">
      <c r="A128" s="161" t="str">
        <f t="shared" si="10"/>
        <v>Оплачено потребителями, руб.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217278.42999999996</v>
      </c>
      <c r="L128" s="47"/>
      <c r="O128" s="1" t="s">
        <v>146</v>
      </c>
    </row>
    <row r="129" spans="1:15" ht="32.25" customHeight="1" outlineLevel="2">
      <c r="A129" s="161" t="str">
        <f t="shared" si="10"/>
        <v>Задолженность потребителей, руб.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7322.4700000001176</v>
      </c>
      <c r="L129" s="47"/>
      <c r="O129" s="1" t="s">
        <v>147</v>
      </c>
    </row>
    <row r="130" spans="1:15" ht="32.25" customHeight="1" outlineLevel="2">
      <c r="A130" s="161" t="str">
        <f t="shared" si="10"/>
        <v>Начислено поставщиком (поставщиками) коммунального ресурса, руб.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224600.90000000008</v>
      </c>
      <c r="L130" s="47"/>
      <c r="O130" s="1" t="s">
        <v>148</v>
      </c>
    </row>
    <row r="131" spans="1:15" ht="32.25" customHeight="1" outlineLevel="2">
      <c r="A131" s="161" t="str">
        <f t="shared" si="10"/>
        <v>Оплачено поставщику (поставщикам) коммунального ресурса, руб.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224600.90000000008</v>
      </c>
      <c r="L131" s="47"/>
      <c r="O131" s="1" t="s">
        <v>149</v>
      </c>
    </row>
    <row r="132" spans="1:15" ht="32.25" customHeight="1" outlineLevel="2">
      <c r="A132" s="161" t="str">
        <f t="shared" si="10"/>
        <v>Задолженность перед поставщиком (поставщиками) коммунального ресурса, руб.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61" t="str">
        <f t="shared" si="10"/>
        <v>Размер пени и штрафов, уплаченных поставщику (поставщикам) коммунального ресурса, руб.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151</v>
      </c>
    </row>
    <row r="134" spans="1:15" ht="32.25" customHeight="1" outlineLevel="1">
      <c r="A134" s="165" t="str">
        <f>IF(VLOOKUP("отопление",АО,3,FALSE)&gt;0,"Отопление",0)</f>
        <v>Отопление</v>
      </c>
      <c r="B134" s="165"/>
      <c r="C134" s="165"/>
      <c r="D134" s="166" t="str">
        <f>IF(VLOOKUP("отопление",АО,3,FALSE)&gt;0,VLOOKUP("отопление",АО,3,FALSE),0)</f>
        <v>Предоставляется</v>
      </c>
      <c r="E134" s="166"/>
      <c r="F134" s="13" t="str">
        <f>IF(VLOOKUP("отопление",АО,3,FALSE)&gt;0,VLOOKUP("отопление",АО,4,FALSE),0)</f>
        <v>Гкал</v>
      </c>
      <c r="G134" s="167">
        <f>VLOOKUP("отопление",АО,5,FALSE)</f>
        <v>604228.36</v>
      </c>
      <c r="H134" s="166"/>
      <c r="I134" s="166"/>
      <c r="J134" s="166"/>
      <c r="L134" s="47"/>
    </row>
    <row r="135" spans="1:15" ht="32.25" customHeight="1" outlineLevel="2">
      <c r="A135" s="161" t="str">
        <f t="shared" ref="A135:A141" si="12">IF(VLOOKUP("отопление",АО,3,FALSE)&gt;0,VLOOKUP(O135,АО,2,FALSE),0)</f>
        <v>Общий объем потребления, нат. показ.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390.16913765239849</v>
      </c>
      <c r="L135" s="47"/>
      <c r="O135" s="1" t="s">
        <v>153</v>
      </c>
    </row>
    <row r="136" spans="1:15" ht="32.25" customHeight="1" outlineLevel="2">
      <c r="A136" s="161" t="str">
        <f t="shared" si="12"/>
        <v>Оплачено потребителями, руб.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546896.65999999992</v>
      </c>
      <c r="L136" s="47"/>
      <c r="O136" s="1" t="s">
        <v>154</v>
      </c>
    </row>
    <row r="137" spans="1:15" ht="32.25" customHeight="1" outlineLevel="2">
      <c r="A137" s="161" t="str">
        <f t="shared" si="12"/>
        <v>Задолженность потребителей, руб.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57331.70000000007</v>
      </c>
      <c r="L137" s="47"/>
      <c r="O137" s="1" t="s">
        <v>155</v>
      </c>
    </row>
    <row r="138" spans="1:15" ht="32.25" customHeight="1" outlineLevel="2">
      <c r="A138" s="161" t="str">
        <f t="shared" si="12"/>
        <v>Начислено поставщиком (поставщиками) коммунального ресурса, руб.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604228.36</v>
      </c>
      <c r="L138" s="47"/>
      <c r="O138" s="1" t="s">
        <v>156</v>
      </c>
    </row>
    <row r="139" spans="1:15" ht="32.25" customHeight="1" outlineLevel="2">
      <c r="A139" s="161" t="str">
        <f t="shared" si="12"/>
        <v>Оплачено поставщику (поставщикам) коммунального ресурса, руб.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604228.36</v>
      </c>
      <c r="L139" s="47"/>
      <c r="O139" s="1" t="s">
        <v>157</v>
      </c>
    </row>
    <row r="140" spans="1:15" ht="32.25" customHeight="1" outlineLevel="2">
      <c r="A140" s="161" t="str">
        <f t="shared" si="12"/>
        <v>Задолженность перед поставщиком (поставщиками) коммунального ресурса, руб.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158</v>
      </c>
    </row>
    <row r="141" spans="1:15" ht="32.25" customHeight="1" outlineLevel="2">
      <c r="A141" s="161" t="str">
        <f t="shared" si="12"/>
        <v>Размер пени и штрафов, уплаченных поставщику (поставщикам) коммунального ресурса, руб.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169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1" t="s">
        <v>172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171</v>
      </c>
    </row>
    <row r="149" spans="1:15" ht="52.5" customHeight="1">
      <c r="A149" s="186" t="s">
        <v>176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8" t="s">
        <v>199</v>
      </c>
      <c r="B154" s="188"/>
      <c r="C154" s="188"/>
      <c r="D154" s="188"/>
      <c r="E154" s="27">
        <f>ПТО!G1</f>
        <v>-284295.73</v>
      </c>
    </row>
    <row r="155" spans="1:15" ht="34.5" customHeight="1">
      <c r="A155" s="187" t="s">
        <v>198</v>
      </c>
      <c r="B155" s="187"/>
      <c r="C155" s="187"/>
      <c r="D155" s="187"/>
      <c r="E155" s="28">
        <f>J13</f>
        <v>239874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3" t="str">
        <f t="shared" ref="A158:A163" si="14">IF(N158&gt;0,N158,0)</f>
        <v>Техническое обслуживание охранной сигнализации.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12000</v>
      </c>
      <c r="G158" s="168"/>
      <c r="H158" s="24" t="str">
        <f t="shared" ref="H158:H187" si="16">VLOOKUP(A158,$A$28:$J$72,8,FALSE)</f>
        <v>ежемесячно</v>
      </c>
      <c r="I158" s="164">
        <f t="shared" ref="I158:I161" si="17">VLOOKUP(A158,$A$28:$J$72,9,FALSE)</f>
        <v>12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3" t="str">
        <f t="shared" si="14"/>
        <v>Техническое освидетельствование лифтов.</v>
      </c>
      <c r="B159" s="163"/>
      <c r="C159" s="163"/>
      <c r="D159" s="163"/>
      <c r="E159" s="163"/>
      <c r="F159" s="168">
        <f t="shared" si="15"/>
        <v>8200</v>
      </c>
      <c r="G159" s="168"/>
      <c r="H159" s="24" t="str">
        <f t="shared" si="16"/>
        <v>ежегодно</v>
      </c>
      <c r="I159" s="164">
        <f t="shared" si="17"/>
        <v>2</v>
      </c>
      <c r="J159" s="164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3" t="str">
        <f t="shared" si="14"/>
        <v>Механизированная уборка и вывоз снега с придомовой территории.</v>
      </c>
      <c r="B160" s="163"/>
      <c r="C160" s="163"/>
      <c r="D160" s="163"/>
      <c r="E160" s="163"/>
      <c r="F160" s="168">
        <f t="shared" si="15"/>
        <v>7129</v>
      </c>
      <c r="G160" s="168"/>
      <c r="H160" s="24" t="str">
        <f t="shared" si="16"/>
        <v>разово</v>
      </c>
      <c r="I160" s="164">
        <f t="shared" si="17"/>
        <v>1</v>
      </c>
      <c r="J160" s="164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3" t="str">
        <f>IF(N161&gt;0,N161,0)</f>
        <v>Замена блока питания и датчика давления в ИТП.</v>
      </c>
      <c r="B161" s="163"/>
      <c r="C161" s="163"/>
      <c r="D161" s="163"/>
      <c r="E161" s="163"/>
      <c r="F161" s="168">
        <f t="shared" si="15"/>
        <v>6500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72</v>
      </c>
      <c r="N161" s="1" t="str">
        <v>Замена блока питания и датчика давления в ИТП.</v>
      </c>
    </row>
    <row r="162" spans="1:14" ht="28.5" customHeight="1">
      <c r="A162" s="163" t="str">
        <f t="shared" si="14"/>
        <v>Приобретение и замена обратного клапона в ИТП.</v>
      </c>
      <c r="B162" s="163"/>
      <c r="C162" s="163"/>
      <c r="D162" s="163"/>
      <c r="E162" s="163"/>
      <c r="F162" s="168">
        <f t="shared" si="15"/>
        <v>6983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72</v>
      </c>
      <c r="N162" s="1" t="str">
        <v>Приобретение и замена обратного клапона в ИТП.</v>
      </c>
    </row>
    <row r="163" spans="1:14" ht="28.5" customHeight="1">
      <c r="A163" s="163" t="str">
        <f t="shared" si="14"/>
        <v>Монтажные работы системы видеонаблюдения.</v>
      </c>
      <c r="B163" s="163"/>
      <c r="C163" s="163"/>
      <c r="D163" s="163"/>
      <c r="E163" s="163"/>
      <c r="F163" s="168">
        <f t="shared" si="15"/>
        <v>1200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72</v>
      </c>
      <c r="N163" s="1" t="str">
        <v>Монтажные работы системы видеонаблюдения.</v>
      </c>
    </row>
    <row r="164" spans="1:14" ht="28.5" customHeight="1">
      <c r="A164" s="163" t="str">
        <f t="shared" ref="A164:A187" si="18">IF(N164&gt;0,N164,0)</f>
        <v>Перекатра пожарных рукавов и испытания пожарных кранов (14 шт.).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7000</v>
      </c>
      <c r="G164" s="168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72</v>
      </c>
      <c r="N164" s="1" t="str">
        <v>Перекатра пожарных рукавов и испытания пожарных кранов (14 шт.).</v>
      </c>
    </row>
    <row r="165" spans="1:14" ht="28.5" hidden="1" customHeight="1">
      <c r="A165" s="163">
        <f t="shared" si="18"/>
        <v>0</v>
      </c>
      <c r="B165" s="163"/>
      <c r="C165" s="163"/>
      <c r="D165" s="163"/>
      <c r="E165" s="163"/>
      <c r="F165" s="168">
        <f t="shared" si="19"/>
        <v>0</v>
      </c>
      <c r="G165" s="168"/>
      <c r="H165" s="29" t="e">
        <f t="shared" si="16"/>
        <v>#N/A</v>
      </c>
      <c r="I165" s="164" t="e">
        <f t="shared" si="20"/>
        <v>#N/A</v>
      </c>
      <c r="J165" s="164"/>
      <c r="M165" s="22" t="s">
        <v>72</v>
      </c>
      <c r="N165" s="1">
        <v>0</v>
      </c>
    </row>
    <row r="166" spans="1:14" ht="28.5" hidden="1" customHeight="1">
      <c r="A166" s="163">
        <f t="shared" si="18"/>
        <v>0</v>
      </c>
      <c r="B166" s="163"/>
      <c r="C166" s="163"/>
      <c r="D166" s="163"/>
      <c r="E166" s="163"/>
      <c r="F166" s="168">
        <f t="shared" si="19"/>
        <v>0</v>
      </c>
      <c r="G166" s="168"/>
      <c r="H166" s="29" t="e">
        <f t="shared" si="16"/>
        <v>#N/A</v>
      </c>
      <c r="I166" s="164" t="e">
        <f t="shared" si="20"/>
        <v>#N/A</v>
      </c>
      <c r="J166" s="164"/>
      <c r="M166" s="22" t="s">
        <v>72</v>
      </c>
      <c r="N166" s="1">
        <v>0</v>
      </c>
    </row>
    <row r="167" spans="1:14" ht="28.5" hidden="1" customHeight="1">
      <c r="A167" s="163">
        <f t="shared" si="18"/>
        <v>0</v>
      </c>
      <c r="B167" s="163"/>
      <c r="C167" s="163"/>
      <c r="D167" s="163"/>
      <c r="E167" s="163"/>
      <c r="F167" s="168">
        <f t="shared" si="19"/>
        <v>0</v>
      </c>
      <c r="G167" s="168"/>
      <c r="H167" s="29" t="e">
        <f t="shared" si="16"/>
        <v>#N/A</v>
      </c>
      <c r="I167" s="164" t="e">
        <f t="shared" si="20"/>
        <v>#N/A</v>
      </c>
      <c r="J167" s="164"/>
      <c r="M167" s="22" t="s">
        <v>72</v>
      </c>
      <c r="N167" s="1">
        <v>0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8" t="s">
        <v>197</v>
      </c>
      <c r="B190" s="188"/>
      <c r="C190" s="188"/>
      <c r="D190" s="188"/>
      <c r="E190" s="27">
        <f>SUM(F158:G187)</f>
        <v>49012</v>
      </c>
    </row>
    <row r="191" spans="1:14" ht="51.75" customHeight="1">
      <c r="A191" s="188" t="s">
        <v>195</v>
      </c>
      <c r="B191" s="188"/>
      <c r="C191" s="188"/>
      <c r="D191" s="188"/>
      <c r="E191" s="27">
        <f>E190+E154-E155</f>
        <v>-475157.73</v>
      </c>
    </row>
    <row r="192" spans="1:14">
      <c r="A192" s="104" t="s">
        <v>173</v>
      </c>
    </row>
    <row r="193" spans="1:10" ht="62.25" customHeight="1">
      <c r="A193" s="162" t="s">
        <v>196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74</v>
      </c>
    </row>
    <row r="195" spans="1:10" ht="18.75" customHeight="1">
      <c r="A195" s="160" t="str">
        <f>ПТО!F13</f>
        <v xml:space="preserve">  -  техническое освидетельствование лифтов</v>
      </c>
      <c r="B195" s="160"/>
      <c r="C195" s="160"/>
      <c r="D195" s="160"/>
      <c r="E195" s="160"/>
      <c r="F195" s="160"/>
      <c r="G195" s="160"/>
      <c r="H195" s="49">
        <f>ПТО!G13</f>
        <v>8200</v>
      </c>
      <c r="I195" s="50" t="s">
        <v>74</v>
      </c>
    </row>
    <row r="196" spans="1:10" ht="18.75" customHeight="1">
      <c r="A196" s="160" t="str">
        <f>ПТО!F14</f>
        <v xml:space="preserve">  -  техническое обслуживание охранной сигнализации</v>
      </c>
      <c r="B196" s="160"/>
      <c r="C196" s="160"/>
      <c r="D196" s="160"/>
      <c r="E196" s="160"/>
      <c r="F196" s="160"/>
      <c r="G196" s="160"/>
      <c r="H196" s="49">
        <f>ПТО!G14</f>
        <v>12000</v>
      </c>
      <c r="I196" s="50" t="s">
        <v>74</v>
      </c>
    </row>
    <row r="197" spans="1:10" ht="18.75" customHeight="1">
      <c r="A197" s="160" t="str">
        <f>ПТО!F15</f>
        <v xml:space="preserve">  -  ремонт подъезда (со стороны незадымляемой лестницы)</v>
      </c>
      <c r="B197" s="160"/>
      <c r="C197" s="160"/>
      <c r="D197" s="160"/>
      <c r="E197" s="160"/>
      <c r="F197" s="160"/>
      <c r="G197" s="160"/>
      <c r="H197" s="49">
        <f>ПТО!G15</f>
        <v>500000</v>
      </c>
      <c r="I197" s="50" t="s">
        <v>74</v>
      </c>
    </row>
    <row r="198" spans="1:10" ht="18.75" customHeight="1">
      <c r="A198" s="160" t="str">
        <f>ПТО!F16</f>
        <v xml:space="preserve">  -  благоустройство придомовой территории</v>
      </c>
      <c r="B198" s="160"/>
      <c r="C198" s="160"/>
      <c r="D198" s="160"/>
      <c r="E198" s="160"/>
      <c r="F198" s="160"/>
      <c r="G198" s="160"/>
      <c r="H198" s="49">
        <f>ПТО!G16</f>
        <v>5000</v>
      </c>
      <c r="I198" s="52" t="s">
        <v>74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49">
        <f>ПТО!G17</f>
        <v>0</v>
      </c>
      <c r="I199" s="50" t="s">
        <v>74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49">
        <f>ПТО!G18</f>
        <v>0</v>
      </c>
      <c r="I200" s="50" t="s">
        <v>74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49">
        <f>ПТО!G19</f>
        <v>0</v>
      </c>
      <c r="I201" s="50" t="s">
        <v>74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49">
        <f>ПТО!G20</f>
        <v>0</v>
      </c>
      <c r="I202" s="50" t="s">
        <v>74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49">
        <f>ПТО!G21</f>
        <v>0</v>
      </c>
      <c r="I203" s="50" t="s">
        <v>74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74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74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74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74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74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74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74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74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74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526400</v>
      </c>
      <c r="I214" s="56" t="s">
        <v>76</v>
      </c>
    </row>
  </sheetData>
  <sheetProtection algorithmName="SHA-512" hashValue="B5CsCDV+um95Z82FAs8+kMkVMAH3ytkyGFMXWjCWFENfCxVPzPefUnQFfBuR9SqhdBdhed5+8lk0UnKGPbX0Mw==" saltValue="FtYdDHdLVoek7u19tJSv2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:E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199</v>
      </c>
      <c r="G1" s="101">
        <f>-284295.73</f>
        <v>-284295.73</v>
      </c>
    </row>
    <row r="2" spans="1:12" ht="18.75" customHeight="1">
      <c r="A2" s="159" t="s">
        <v>178</v>
      </c>
      <c r="B2" s="119" t="s">
        <v>180</v>
      </c>
      <c r="C2" s="119">
        <v>12</v>
      </c>
      <c r="D2" s="118">
        <v>12000</v>
      </c>
      <c r="E2" s="121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179</v>
      </c>
      <c r="B3" s="145" t="s">
        <v>181</v>
      </c>
      <c r="C3" s="145">
        <v>2</v>
      </c>
      <c r="D3" s="146">
        <v>8200</v>
      </c>
      <c r="E3" s="121" t="s">
        <v>203</v>
      </c>
      <c r="F3" s="30"/>
      <c r="G3" s="30"/>
      <c r="L3" s="33" t="str">
        <f t="shared" si="0"/>
        <v>ТР</v>
      </c>
    </row>
    <row r="4" spans="1:12" ht="32.25" customHeight="1">
      <c r="A4" s="140" t="s">
        <v>200</v>
      </c>
      <c r="B4" s="141" t="s">
        <v>182</v>
      </c>
      <c r="C4" s="142">
        <v>1</v>
      </c>
      <c r="D4" s="143">
        <v>7129</v>
      </c>
      <c r="E4" s="144" t="s">
        <v>201</v>
      </c>
      <c r="F4" s="30"/>
      <c r="G4" s="30"/>
      <c r="L4" s="33" t="str">
        <f t="shared" si="0"/>
        <v>ТР</v>
      </c>
    </row>
    <row r="5" spans="1:12" ht="18.75" customHeight="1">
      <c r="A5" s="147" t="s">
        <v>205</v>
      </c>
      <c r="B5" s="148" t="s">
        <v>182</v>
      </c>
      <c r="C5" s="149">
        <v>1</v>
      </c>
      <c r="D5" s="46">
        <v>6500</v>
      </c>
      <c r="E5" s="150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51" t="s">
        <v>204</v>
      </c>
      <c r="B6" s="126" t="s">
        <v>182</v>
      </c>
      <c r="C6" s="126">
        <v>1</v>
      </c>
      <c r="D6" s="152">
        <v>6983</v>
      </c>
      <c r="E6" s="152" t="s">
        <v>207</v>
      </c>
      <c r="F6" s="44"/>
      <c r="G6" s="44"/>
      <c r="K6" s="46"/>
      <c r="L6" s="33" t="str">
        <f t="shared" si="0"/>
        <v>ТР</v>
      </c>
    </row>
    <row r="7" spans="1:12" ht="18.75" customHeight="1">
      <c r="A7" s="153" t="s">
        <v>208</v>
      </c>
      <c r="B7" s="154" t="s">
        <v>182</v>
      </c>
      <c r="C7" s="126">
        <v>1</v>
      </c>
      <c r="D7" s="146">
        <v>1200</v>
      </c>
      <c r="E7" s="155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57" t="s">
        <v>202</v>
      </c>
      <c r="B8" s="154" t="s">
        <v>182</v>
      </c>
      <c r="C8" s="126">
        <v>1</v>
      </c>
      <c r="D8" s="146">
        <v>7000</v>
      </c>
      <c r="E8" s="158" t="s">
        <v>210</v>
      </c>
      <c r="F8" s="45"/>
      <c r="G8" s="45"/>
      <c r="K8" s="43"/>
      <c r="L8" s="33" t="str">
        <f t="shared" si="0"/>
        <v>ТР</v>
      </c>
    </row>
    <row r="9" spans="1:12">
      <c r="A9" s="130"/>
      <c r="B9" s="126"/>
      <c r="C9" s="131"/>
      <c r="D9" s="132"/>
      <c r="E9" s="133"/>
      <c r="F9" s="44"/>
      <c r="G9" s="44"/>
      <c r="K9" s="43"/>
      <c r="L9" s="33">
        <f t="shared" si="0"/>
        <v>0</v>
      </c>
    </row>
    <row r="10" spans="1:12">
      <c r="A10" s="127"/>
      <c r="B10" s="128"/>
      <c r="C10" s="129"/>
      <c r="D10" s="46"/>
      <c r="E10" s="121"/>
      <c r="F10" s="121"/>
      <c r="L10" s="33">
        <f t="shared" si="0"/>
        <v>0</v>
      </c>
    </row>
    <row r="11" spans="1:12" ht="94.5">
      <c r="A11" s="134"/>
      <c r="B11" s="135"/>
      <c r="C11" s="125"/>
      <c r="D11" s="46"/>
      <c r="E11" s="136"/>
      <c r="F11" s="111" t="s">
        <v>196</v>
      </c>
      <c r="G11" s="111"/>
      <c r="L11" s="33">
        <f t="shared" si="0"/>
        <v>0</v>
      </c>
    </row>
    <row r="12" spans="1:12" ht="31.5">
      <c r="A12" s="127"/>
      <c r="B12" s="128"/>
      <c r="C12" s="129"/>
      <c r="D12" s="46"/>
      <c r="E12" s="121"/>
      <c r="F12" s="112" t="s">
        <v>73</v>
      </c>
      <c r="G12" s="113">
        <v>1200</v>
      </c>
      <c r="L12" s="33">
        <f t="shared" si="0"/>
        <v>0</v>
      </c>
    </row>
    <row r="13" spans="1:12" ht="31.5">
      <c r="A13" s="134"/>
      <c r="B13" s="135"/>
      <c r="C13" s="125"/>
      <c r="D13" s="46"/>
      <c r="E13" s="136"/>
      <c r="F13" s="112" t="s">
        <v>185</v>
      </c>
      <c r="G13" s="113">
        <v>8200</v>
      </c>
      <c r="L13" s="33">
        <f t="shared" si="0"/>
        <v>0</v>
      </c>
    </row>
    <row r="14" spans="1:12" ht="31.5">
      <c r="A14" s="122"/>
      <c r="B14" s="119"/>
      <c r="C14" s="119"/>
      <c r="D14" s="118"/>
      <c r="E14" s="123"/>
      <c r="F14" s="112" t="s">
        <v>184</v>
      </c>
      <c r="G14" s="114">
        <v>12000</v>
      </c>
      <c r="L14" s="33">
        <f t="shared" si="0"/>
        <v>0</v>
      </c>
    </row>
    <row r="15" spans="1:12" ht="31.5">
      <c r="A15" s="30"/>
      <c r="F15" s="112" t="s">
        <v>186</v>
      </c>
      <c r="G15" s="114">
        <v>500000</v>
      </c>
      <c r="L15" s="33">
        <f t="shared" si="0"/>
        <v>0</v>
      </c>
    </row>
    <row r="16" spans="1:12" ht="31.5">
      <c r="A16" s="30"/>
      <c r="F16" s="124" t="s">
        <v>187</v>
      </c>
      <c r="G16" s="113">
        <v>5000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 ht="15.75">
      <c r="A18" s="30"/>
      <c r="F18" s="124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 ht="15.75">
      <c r="A20" s="30"/>
      <c r="F20" s="124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292166.52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292166.52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135768.72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135768.72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75320.399999999994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75320.399999999994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57569.760000000002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57569.760000000002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15351.96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15351.96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104105.28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104105.28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239874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239874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8"/>
      <c r="E47" s="137">
        <v>1077.2</v>
      </c>
      <c r="F47" s="137">
        <v>747.7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9" t="s">
        <v>188</v>
      </c>
      <c r="F52" s="139" t="s">
        <v>189</v>
      </c>
      <c r="G52" s="139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9">
        <v>35.896999999999998</v>
      </c>
      <c r="F53" s="137">
        <v>3997.9</v>
      </c>
      <c r="G53" s="139">
        <v>3.83</v>
      </c>
      <c r="H53" s="139">
        <f>G53*E47/F53</f>
        <v>1.0319607794091898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9"/>
      <c r="F54" s="139" t="s">
        <v>191</v>
      </c>
      <c r="G54" s="139" t="s">
        <v>192</v>
      </c>
      <c r="H54" s="139">
        <f>H53*66.6</f>
        <v>68.728587908652031</v>
      </c>
    </row>
    <row r="55" spans="5:16">
      <c r="E55" s="139"/>
      <c r="F55" s="139">
        <v>1.17</v>
      </c>
      <c r="G55" s="139">
        <v>1.23</v>
      </c>
      <c r="H55" s="139"/>
    </row>
    <row r="56" spans="5:16">
      <c r="E56" s="139"/>
      <c r="F56" s="139"/>
      <c r="G56" s="139"/>
      <c r="H56" s="139"/>
    </row>
    <row r="57" spans="5:16">
      <c r="E57" s="139"/>
      <c r="F57" s="139"/>
      <c r="G57" s="139"/>
      <c r="H57" s="139"/>
    </row>
    <row r="58" spans="5:16">
      <c r="E58" s="139" t="s">
        <v>193</v>
      </c>
      <c r="F58" s="139"/>
      <c r="G58" s="139"/>
      <c r="H58" s="139"/>
    </row>
    <row r="59" spans="5:16">
      <c r="E59" s="139">
        <v>0.59599999999999997</v>
      </c>
      <c r="F59" s="137">
        <v>3997.9</v>
      </c>
      <c r="G59" s="139">
        <v>7.4999999999999997E-2</v>
      </c>
      <c r="H59" s="139">
        <f>G59*F47</f>
        <v>56.077500000000001</v>
      </c>
    </row>
    <row r="60" spans="5:16">
      <c r="E60" s="139"/>
      <c r="F60" s="139" t="s">
        <v>191</v>
      </c>
      <c r="G60" s="139" t="s">
        <v>192</v>
      </c>
      <c r="H60" s="139">
        <f>H59/F59</f>
        <v>1.4026739037994947E-2</v>
      </c>
    </row>
    <row r="61" spans="5:16">
      <c r="E61" s="139"/>
      <c r="F61" s="139">
        <v>12.94</v>
      </c>
      <c r="G61" s="139">
        <v>13.45</v>
      </c>
      <c r="H61" s="139">
        <f>H60*66.6</f>
        <v>0.93418081993046342</v>
      </c>
    </row>
    <row r="62" spans="5:16">
      <c r="E62" s="139" t="s">
        <v>194</v>
      </c>
      <c r="F62" s="139"/>
      <c r="G62" s="139"/>
      <c r="H62" s="139"/>
    </row>
    <row r="63" spans="5:16">
      <c r="E63" s="139">
        <v>0.59599999999999997</v>
      </c>
      <c r="F63" s="137">
        <v>3997.9</v>
      </c>
      <c r="G63" s="139">
        <v>7.4999999999999997E-2</v>
      </c>
      <c r="H63" s="139">
        <f>G63*F47</f>
        <v>56.077500000000001</v>
      </c>
    </row>
    <row r="64" spans="5:16">
      <c r="E64" s="139"/>
      <c r="F64" s="139" t="s">
        <v>191</v>
      </c>
      <c r="G64" s="139" t="s">
        <v>192</v>
      </c>
      <c r="H64" s="139">
        <f>H63/F63</f>
        <v>1.4026739037994947E-2</v>
      </c>
    </row>
    <row r="65" spans="4:13" ht="18.75" customHeight="1">
      <c r="E65" s="139"/>
      <c r="F65" s="139">
        <v>15.73</v>
      </c>
      <c r="G65" s="139">
        <v>16.350000000000001</v>
      </c>
      <c r="H65" s="139">
        <f>H64*66.6</f>
        <v>0.93418081993046342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/9J2dlmXoKQYuqkwk1wuhXNc5kA3WyVnuFJ4mdtcEqf0X1KBl0DohlGujwqpPC2NB739ol5Z7kLAkGNgTvRHA==" saltValue="zDcfF/eTcTLh05Kr9ebRt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33" sqref="F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3997.9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142208.04000000004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1160030.6639999999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f>19.18*12*F1</f>
        <v>920156.66399999999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239874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1140391.95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1140391.95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1140391.95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161846.75399999996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104</v>
      </c>
      <c r="B27" s="75" t="s">
        <v>4</v>
      </c>
      <c r="C27" s="86">
        <v>92350.07</v>
      </c>
      <c r="D27" s="81" t="s">
        <v>60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107</v>
      </c>
      <c r="B30" s="75" t="s">
        <v>18</v>
      </c>
      <c r="C30" s="86">
        <f>C27+72254.63</f>
        <v>164604.70000000001</v>
      </c>
      <c r="D30" s="81" t="s">
        <v>66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156"/>
      <c r="G39" s="67"/>
      <c r="H39" s="67"/>
      <c r="L39" s="63"/>
      <c r="M39" s="189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156"/>
      <c r="G40" s="67"/>
      <c r="H40" s="67"/>
      <c r="L40" s="63"/>
      <c r="M40" s="189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156"/>
      <c r="G41" s="67"/>
      <c r="H41" s="67"/>
      <c r="L41" s="63"/>
      <c r="M41" s="189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55682.310000000019</v>
      </c>
      <c r="F45" s="94" t="s">
        <v>166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3712.5203671414956</v>
      </c>
      <c r="D46" s="94" t="s">
        <v>167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54395.18</v>
      </c>
      <c r="D47" s="94" t="s">
        <v>165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1287.1300000000192</v>
      </c>
      <c r="D48" s="80" t="s">
        <v>59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55682.310000000019</v>
      </c>
      <c r="D49" s="80" t="s">
        <v>59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55682.310000000019</v>
      </c>
      <c r="D50" s="80" t="s">
        <v>59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102248.29000000001</v>
      </c>
      <c r="F53" s="94" t="s">
        <v>166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5983.99</v>
      </c>
      <c r="D54" s="94" t="s">
        <v>167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98900.25</v>
      </c>
      <c r="D55" s="94" t="s">
        <v>165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3348.0400000000081</v>
      </c>
      <c r="D56" s="80" t="s">
        <v>59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102248.29000000001</v>
      </c>
      <c r="D57" s="80" t="s">
        <v>59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102248.29000000001</v>
      </c>
      <c r="D58" s="80" t="s">
        <v>59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55</v>
      </c>
      <c r="E61" s="95">
        <v>146044.97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287.35155910950505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143079.67999999996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2965.2900000000373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146044.97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146044.97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224600.90000000008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2271.471341738189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217278.42999999996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7322.4700000001176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224600.90000000008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224600.90000000008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 t="str">
        <f>IF(E77&gt;0,"Предоставляется",0)</f>
        <v>Предоставляется</v>
      </c>
      <c r="D77" s="96" t="s">
        <v>80</v>
      </c>
      <c r="E77" s="95">
        <v>604228.36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390.16913765239849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546896.65999999992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57331.70000000007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604228.36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604228.36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2023-03-30T08:35:20Z</dcterms:modified>
</cp:coreProperties>
</file>