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8" i="3"/>
  <c r="C6" i="3"/>
  <c r="G1" i="2" l="1"/>
  <c r="H64" i="2" l="1"/>
  <c r="H65" i="2" s="1"/>
  <c r="H66" i="2" s="1"/>
  <c r="H60" i="2"/>
  <c r="H61" i="2" s="1"/>
  <c r="H62" i="2" s="1"/>
  <c r="H54" i="2"/>
  <c r="H55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6" i="1"/>
  <c r="G102" i="1"/>
  <c r="J101" i="1"/>
  <c r="J96" i="1"/>
  <c r="J95" i="1"/>
  <c r="A100" i="1"/>
  <c r="A99" i="1"/>
  <c r="A96" i="1"/>
  <c r="G94" i="1"/>
  <c r="F94" i="1"/>
  <c r="K94" i="1"/>
  <c r="A111" i="1" l="1"/>
  <c r="A105" i="1"/>
  <c r="A108" i="1"/>
  <c r="D102" i="1"/>
  <c r="A109" i="1"/>
  <c r="F102" i="1"/>
  <c r="A104" i="1"/>
  <c r="A115" i="1"/>
  <c r="A110" i="1"/>
  <c r="A95" i="1"/>
  <c r="A101" i="1"/>
  <c r="A94" i="1"/>
  <c r="A97" i="1"/>
  <c r="D94" i="1"/>
  <c r="A123" i="1"/>
  <c r="A119" i="1"/>
  <c r="A118" i="1"/>
  <c r="D110" i="1"/>
  <c r="A112" i="1"/>
  <c r="A116" i="1"/>
  <c r="A114" i="1"/>
  <c r="F110" i="1"/>
  <c r="A113" i="1"/>
  <c r="A102" i="1"/>
  <c r="A103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65" i="1" l="1"/>
  <c r="A165" i="1" s="1"/>
  <c r="I165" i="1" s="1"/>
  <c r="N181" i="1"/>
  <c r="A181" i="1" s="1"/>
  <c r="I181" i="1" s="1"/>
  <c r="N172" i="1"/>
  <c r="A172" i="1" s="1"/>
  <c r="I172" i="1" s="1"/>
  <c r="N174" i="1"/>
  <c r="A174" i="1" s="1"/>
  <c r="I174" i="1" s="1"/>
  <c r="N178" i="1"/>
  <c r="A178" i="1" s="1"/>
  <c r="I178" i="1" s="1"/>
  <c r="N182" i="1"/>
  <c r="A182" i="1" s="1"/>
  <c r="I182" i="1" s="1"/>
  <c r="N171" i="1"/>
  <c r="A171" i="1" s="1"/>
  <c r="I171" i="1" s="1"/>
  <c r="N161" i="1"/>
  <c r="A161" i="1" s="1"/>
  <c r="N167" i="1"/>
  <c r="A167" i="1" s="1"/>
  <c r="I167" i="1" s="1"/>
  <c r="N187" i="1"/>
  <c r="A187" i="1" s="1"/>
  <c r="I187" i="1" s="1"/>
  <c r="N177" i="1"/>
  <c r="A177" i="1" s="1"/>
  <c r="I177" i="1" s="1"/>
  <c r="N185" i="1"/>
  <c r="A185" i="1" s="1"/>
  <c r="I185" i="1" s="1"/>
  <c r="N176" i="1"/>
  <c r="A176" i="1" s="1"/>
  <c r="I176" i="1" s="1"/>
  <c r="N162" i="1"/>
  <c r="A162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3" i="1" l="1"/>
  <c r="F165" i="1"/>
  <c r="H165" i="1"/>
  <c r="H167" i="1"/>
  <c r="H178" i="1"/>
  <c r="F180" i="1"/>
  <c r="H174" i="1"/>
  <c r="H180" i="1"/>
  <c r="F174" i="1"/>
  <c r="F183" i="1"/>
  <c r="H185" i="1"/>
  <c r="H175" i="1"/>
  <c r="H183" i="1"/>
  <c r="F187" i="1"/>
  <c r="H182" i="1"/>
  <c r="F167" i="1"/>
  <c r="F185" i="1"/>
  <c r="F178" i="1"/>
  <c r="H164" i="1"/>
  <c r="F176" i="1"/>
  <c r="H186" i="1"/>
  <c r="H172" i="1"/>
  <c r="F175" i="1"/>
  <c r="H171" i="1"/>
  <c r="F171" i="1"/>
  <c r="H177" i="1"/>
  <c r="F182" i="1"/>
  <c r="F168" i="1"/>
  <c r="H187" i="1"/>
  <c r="F177" i="1"/>
  <c r="F172" i="1"/>
  <c r="H168" i="1"/>
  <c r="F173" i="1"/>
  <c r="H176" i="1"/>
  <c r="H181" i="1"/>
  <c r="H166" i="1"/>
  <c r="F181" i="1"/>
  <c r="F179" i="1"/>
  <c r="F170" i="1"/>
  <c r="F164" i="1"/>
  <c r="H170" i="1"/>
  <c r="F186" i="1"/>
  <c r="H179" i="1"/>
  <c r="H169" i="1"/>
  <c r="F169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<sst xmlns="http://schemas.openxmlformats.org/spreadsheetml/2006/main" count="593" uniqueCount="230">
  <si>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</si>
  <si>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</si>
  <si>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</si>
  <si>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</si>
  <si>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</si>
  <si>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</si>
  <si>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</si>
  <si>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</si>
  <si>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</si>
  <si>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</si>
  <si>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</si>
  <si>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</si>
  <si>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</si>
  <si>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</si>
  <si>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</si>
  <si>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</si>
  <si>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</si>
  <si>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</si>
  <si>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</si>
  <si>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</si>
  <si>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</si>
  <si>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</si>
  <si>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</si>
  <si>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</si>
  <si>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</si>
  <si>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</si>
  <si>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</si>
  <si>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</si>
  <si>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</si>
  <si>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</si>
  <si>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</si>
  <si>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</si>
  <si>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</si>
  <si>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</si>
  <si>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</si>
  <si>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</si>
  <si>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</si>
  <si>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</si>
  <si>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</si>
  <si>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</si>
  <si>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</si>
  <si>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</si>
  <si>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</si>
  <si>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</si>
  <si>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</si>
  <si>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</si>
  <si>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</si>
  <si>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</si>
  <si>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</si>
  <si>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</si>
  <si>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</si>
  <si>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</si>
  <si>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</si>
  <si>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</si>
  <si>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</si>
  <si>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</si>
  <si>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</si>
  <si>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</si>
  <si>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</si>
  <si>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</si>
  <si>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</si>
  <si>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</si>
  <si>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</si>
  <si>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</si>
  <si>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</si>
  <si>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</si>
  <si>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</si>
  <si>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</si>
  <si>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</si>
  <si>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</si>
  <si>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</si>
  <si>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</si>
  <si>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</si>
  <si>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</si>
  <si>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</si>
  <si>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</si>
  <si>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</si>
  <si>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</si>
  <si>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</si>
  <si>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</si>
  <si>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</si>
  <si>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</si>
  <si>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</si>
  <si>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</si>
  <si>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</si>
  <si>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</si>
  <si>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</si>
  <si>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</si>
  <si>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</si>
  <si>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</si>
  <si>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</si>
  <si>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</si>
  <si>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</si>
  <si>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</si>
  <si>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</si>
  <si>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</si>
  <si>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</si>
  <si>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</si>
  <si>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</si>
  <si>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</si>
  <si>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</si>
  <si>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</si>
  <si>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</si>
  <si>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</si>
  <si>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</si>
  <si>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</si>
  <si>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</si>
  <si>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</si>
  <si>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</si>
  <si>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</si>
  <si>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</si>
  <si>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</si>
  <si>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</si>
  <si>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</si>
  <si>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</si>
  <si>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</si>
  <si>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</si>
  <si>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</si>
  <si>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</si>
  <si>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</si>
  <si>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</si>
  <si>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</si>
  <si>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</si>
  <si>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</si>
  <si>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</si>
  <si>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</si>
  <si>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</si>
  <si>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</si>
  <si>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</si>
  <si>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</si>
  <si>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</si>
  <si>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</si>
  <si>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</si>
  <si>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</si>
  <si>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</si>
  <si>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</si>
  <si>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</si>
  <si>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</si>
  <si>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</si>
  <si>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</si>
  <si>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</si>
  <si>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</si>
  <si>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</si>
  <si>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</si>
  <si>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</si>
  <si>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</si>
  <si>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</si>
  <si>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</si>
  <si>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</si>
  <si>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</si>
  <si>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</si>
  <si>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</si>
  <si>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</si>
  <si>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</si>
  <si>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</si>
  <si>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</si>
  <si>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</si>
  <si>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</si>
  <si>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</si>
  <si>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</si>
  <si>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</si>
  <si>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</si>
  <si>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</si>
  <si>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</si>
  <si>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</si>
  <si>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</si>
  <si>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</si>
  <si>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</si>
  <si>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</si>
  <si>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</si>
  <si>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</si>
  <si>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</si>
  <si>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</si>
  <si>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</si>
  <si>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</si>
  <si>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26</t>
  </si>
  <si>
    <t>Техническое освидетельствование лифтов.</t>
  </si>
  <si>
    <t>ежегодно</t>
  </si>
  <si>
    <t>разово</t>
  </si>
  <si>
    <t>площадь дома</t>
  </si>
  <si>
    <t>принято с 01.01.2018</t>
  </si>
  <si>
    <t>начисления с 01.01.2018</t>
  </si>
  <si>
    <t xml:space="preserve">  -  техническое освидетельствование лифтов</t>
  </si>
  <si>
    <t>Отчет об исполнении договора управления многоквартирного дома 
Касьянова, 26 в части текущего ремонта</t>
  </si>
  <si>
    <t>Электр</t>
  </si>
  <si>
    <t>площадь по 1С</t>
  </si>
  <si>
    <t>Тариф 1полуг.</t>
  </si>
  <si>
    <t>Тариф 2полуг.</t>
  </si>
  <si>
    <t>ХВС</t>
  </si>
  <si>
    <t>Водоотв</t>
  </si>
  <si>
    <t>норматив мопс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</si>
  <si>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</si>
  <si>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</si>
  <si>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</si>
  <si>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</si>
  <si>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</si>
  <si>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Ремонт шлагбаума.</t>
  </si>
  <si>
    <t>АВР 1/22 от 08.02.2022, Решение, счет №080222/1 от 08.02.2022</t>
  </si>
  <si>
    <t>Ремонт системы видеонаблюдения.</t>
  </si>
  <si>
    <t>АВР 2/22 от 08.02.2022, счет №1 от 10.01.2022</t>
  </si>
  <si>
    <t>Механизированная уборка и вывоз снега с придомовой территории.</t>
  </si>
  <si>
    <t>АВР 3/22 от 15.03.2022, счет №10 от 15.03.2022</t>
  </si>
  <si>
    <t>АВР 4/22 от 30.04.2022, Решение, счет №2004221 от 20.04.2022</t>
  </si>
  <si>
    <t>Ремонт шлагбаума (апрель).</t>
  </si>
  <si>
    <t>Ремонт и настройка автоматики ИТП (замена ремкомплекта для клапана).</t>
  </si>
  <si>
    <t>АВР 5/22 от 28.06.2022</t>
  </si>
  <si>
    <t>Проведение генеральной уборки подъездов.</t>
  </si>
  <si>
    <t>АВР 6/22 от 30.06.2022</t>
  </si>
  <si>
    <t>АВР 7/22 от 31.08.2022, Решение, счет №6862 от 21.07.2022</t>
  </si>
  <si>
    <t>Приобретение полусфер и краски для разметки парковочных мест.</t>
  </si>
  <si>
    <t>Монтаж водосточной системы и греющего кабеля.</t>
  </si>
  <si>
    <t>Ремонт стойки шлагбаума и регулировка концевых положений.</t>
  </si>
  <si>
    <t>АВР 8/22 от 09.10.22, Решение</t>
  </si>
  <si>
    <t>Ремонт линии питания шлагбаума.</t>
  </si>
  <si>
    <t>Замена рифленого алюминиевого листа в лифте (1 подъезд).</t>
  </si>
  <si>
    <t>Замена прожектора на торце дома №24.</t>
  </si>
  <si>
    <t>АВР 9/22 от 24.11.2022</t>
  </si>
  <si>
    <t>АВР 10/22 от 31.07.2022</t>
  </si>
  <si>
    <t>АВР 11/22 от 14.07.2022, Решение, счет №69 от 12.07.2022</t>
  </si>
  <si>
    <t>АВР 12/22 от 10.09.2022, Решение, счет №4815 от 09.09.2022, №458 от 13.09.2022</t>
  </si>
  <si>
    <t>АВР 13/22 от 09.10.2022, Договор</t>
  </si>
  <si>
    <t>АВР 14/22 от 30.11.2022, счет №73 от 14.11.2022</t>
  </si>
  <si>
    <t>АВР 15/22 от 19.11.2022, Решение, счет №563 от 17.11.22</t>
  </si>
  <si>
    <t>АВР 16/22 от 01.12.2022, Решение, счет№5651 от 30.11.22</t>
  </si>
  <si>
    <t xml:space="preserve">  -  замена тамбурных дверей</t>
  </si>
  <si>
    <t>Приобретение и замена обратного клапана в ИТП.</t>
  </si>
  <si>
    <t>Замена регистратора, коммутатора и роутера системы видеонаблюдения.</t>
  </si>
  <si>
    <t>Приобретение и замена прорезиненных дорожек.</t>
  </si>
  <si>
    <t xml:space="preserve">  -  благоустройство придомовой территории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</si>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</sst>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17" fillId="0" borderId="0" xfId="5" applyNumberFormat="1" applyFill="1" applyBorder="1" applyAlignment="1">
      <alignment vertical="center"/>
    </xf>
    <xf numFmtId="0" fontId="0" fillId="6" borderId="0" xfId="0" applyFill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0" fontId="16" fillId="0" borderId="0" xfId="9" applyNumberFormat="1" applyFill="1" applyBorder="1" applyAlignment="1">
      <alignment horizontal="center"/>
    </xf>
    <xf numFmtId="0" fontId="17" fillId="0" borderId="0" xfId="5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3" fillId="3" borderId="0" xfId="1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17" fillId="0" borderId="0" xfId="5" applyFill="1" applyBorder="1" applyAlignment="1">
      <alignment horizontal="center"/>
    </xf>
    <xf numFmtId="4" fontId="17" fillId="0" borderId="0" xfId="5" applyNumberFormat="1" applyFill="1" applyBorder="1" applyAlignment="1"/>
    <xf numFmtId="0" fontId="12" fillId="0" borderId="0" xfId="9" applyFont="1" applyFill="1" applyBorder="1" applyAlignment="1">
      <alignment horizontal="center"/>
    </xf>
    <xf numFmtId="4" fontId="16" fillId="0" borderId="0" xfId="9" applyNumberFormat="1" applyFill="1" applyBorder="1" applyAlignment="1"/>
    <xf numFmtId="0" fontId="11" fillId="0" borderId="0" xfId="9" applyFont="1" applyFill="1" applyBorder="1" applyAlignment="1">
      <alignment horizontal="center"/>
    </xf>
    <xf numFmtId="0" fontId="10" fillId="0" borderId="0" xfId="9" applyFon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8" fillId="0" borderId="0" xfId="9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7" fillId="0" borderId="0" xfId="5" applyFill="1" applyBorder="1" applyAlignment="1"/>
    <xf numFmtId="4" fontId="0" fillId="0" borderId="0" xfId="0" applyNumberFormat="1" applyFill="1" applyBorder="1"/>
    <xf numFmtId="0" fontId="4" fillId="0" borderId="0" xfId="9" applyFont="1" applyFill="1" applyBorder="1" applyAlignment="1"/>
    <xf numFmtId="0" fontId="2" fillId="0" borderId="0" xfId="9" applyFont="1" applyFill="1" applyBorder="1" applyAlignment="1"/>
    <xf numFmtId="4" fontId="23" fillId="0" borderId="0" xfId="1" applyNumberFormat="1" applyFont="1" applyBorder="1" applyAlignment="1" applyProtection="1">
      <alignment horizontal="center" vertical="center" wrapText="1"/>
      <protection locked="0"/>
    </xf>
    <xf numFmtId="4" fontId="1" fillId="0" borderId="0" xfId="5" applyNumberFormat="1" applyFont="1" applyFill="1" applyBorder="1"/>
    <xf numFmtId="0" fontId="7" fillId="0" borderId="0" xfId="2" applyFont="1" applyFill="1" applyBorder="1" applyAlignment="1"/>
    <xf numFmtId="0" fontId="6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 applyAlignment="1"/>
    <xf numFmtId="0" fontId="24" fillId="0" borderId="0" xfId="17" applyFont="1"/>
    <xf numFmtId="4" fontId="24" fillId="0" borderId="0" xfId="17" applyNumberFormat="1" applyFont="1"/>
    <xf numFmtId="0" fontId="1" fillId="0" borderId="0" xfId="2" applyFont="1" applyFill="1" applyBorder="1" applyAlignment="1"/>
    <xf numFmtId="0" fontId="1" fillId="0" borderId="0" xfId="9" applyFont="1" applyFill="1" applyBorder="1" applyAlignment="1"/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33">
    <cellStyle name="Обычный" xfId="0" builtinId="0"/>
    <cellStyle name="Обычный 2" xfId="1"/>
    <cellStyle name="Обычный 2 2" xfId="3"/>
    <cellStyle name="Обычный 2 2 2" xfId="20"/>
    <cellStyle name="Обычный 2 2 3" xfId="27"/>
    <cellStyle name="Обычный 2 2 4" xfId="26"/>
    <cellStyle name="Обычный 2 2 5" xfId="28"/>
    <cellStyle name="Обычный 2 2 6" xfId="30"/>
    <cellStyle name="Обычный 2 2 7" xfId="18"/>
    <cellStyle name="Обычный 2 3" xfId="6"/>
    <cellStyle name="Обычный 2 3 2" xfId="25"/>
    <cellStyle name="Обычный 2 4" xfId="11"/>
    <cellStyle name="Обычный 2 4 2" xfId="29"/>
    <cellStyle name="Обычный 2 5" xfId="16"/>
    <cellStyle name="Обычный 2 5 2" xfId="24"/>
    <cellStyle name="Обычный 2 6" xfId="31"/>
    <cellStyle name="Обычный 2 7" xfId="32"/>
    <cellStyle name="Обычный 3" xfId="2"/>
    <cellStyle name="Обычный 3 2" xfId="7"/>
    <cellStyle name="Обычный 3 3" xfId="12"/>
    <cellStyle name="Обычный 3 4" xfId="19"/>
    <cellStyle name="Обычный 4" xfId="4"/>
    <cellStyle name="Обычный 4 2" xfId="8"/>
    <cellStyle name="Обычный 4 3" xfId="13"/>
    <cellStyle name="Обычный 4 4" xfId="21"/>
    <cellStyle name="Обычный 5" xfId="5"/>
    <cellStyle name="Обычный 5 2" xfId="9"/>
    <cellStyle name="Обычный 5 2 2" xfId="23"/>
    <cellStyle name="Обычный 5 3" xfId="14"/>
    <cellStyle name="Обычный 5 4" xfId="22"/>
    <cellStyle name="Обычный 6" xfId="10"/>
    <cellStyle name="Обычный 6 2" xfId="15"/>
    <cellStyle name="Обычный 7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5" sqref="K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6" t="s">
        <v>175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77"/>
      <c r="M8" s="109"/>
      <c r="N8" s="109"/>
      <c r="O8" s="70" t="s">
        <v>81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77"/>
      <c r="M9" s="109"/>
      <c r="N9" s="109"/>
      <c r="O9" s="70" t="s">
        <v>82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203686.554</v>
      </c>
      <c r="K10" s="109"/>
      <c r="L10" s="177"/>
      <c r="M10" s="109"/>
      <c r="N10" s="109"/>
      <c r="O10" s="70" t="s">
        <v>83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1601977.176</v>
      </c>
      <c r="K11" s="109"/>
      <c r="L11" s="177"/>
      <c r="M11" s="109"/>
      <c r="N11" s="109"/>
      <c r="O11" s="70" t="s">
        <v>84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929328.33600000001</v>
      </c>
      <c r="K12" s="109"/>
      <c r="L12" s="177"/>
      <c r="M12" s="109"/>
      <c r="N12" s="109"/>
      <c r="O12" s="70" t="s">
        <v>85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325182.38399999996</v>
      </c>
      <c r="K13" s="109"/>
      <c r="L13" s="177"/>
      <c r="M13" s="109"/>
      <c r="N13" s="109"/>
      <c r="O13" s="70" t="s">
        <v>86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347466.45600000001</v>
      </c>
      <c r="K14" s="109"/>
      <c r="L14" s="177"/>
      <c r="M14" s="109"/>
      <c r="N14" s="109"/>
      <c r="O14" s="70" t="s">
        <v>87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1436109.0399999996</v>
      </c>
      <c r="K15" s="109"/>
      <c r="L15" s="177"/>
      <c r="M15" s="109"/>
      <c r="N15" s="109"/>
      <c r="O15" s="70" t="s">
        <v>88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1436109.0399999996</v>
      </c>
      <c r="K16" s="109"/>
      <c r="L16" s="177"/>
      <c r="M16" s="109"/>
      <c r="N16" s="109"/>
      <c r="O16" s="70" t="s">
        <v>89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77"/>
      <c r="M17" s="109"/>
      <c r="N17" s="109"/>
      <c r="O17" s="70" t="s">
        <v>90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77"/>
      <c r="M18" s="109"/>
      <c r="N18" s="109"/>
      <c r="O18" s="70" t="s">
        <v>91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77"/>
      <c r="M19" s="109"/>
      <c r="N19" s="109"/>
      <c r="O19" s="70" t="s">
        <v>92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77"/>
      <c r="M20" s="109"/>
      <c r="N20" s="109"/>
      <c r="O20" s="70" t="s">
        <v>93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1436109.0399999996</v>
      </c>
      <c r="K21" s="109"/>
      <c r="L21" s="177"/>
      <c r="M21" s="109"/>
      <c r="N21" s="109"/>
      <c r="O21" s="70" t="s">
        <v>94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77"/>
      <c r="M22" s="109"/>
      <c r="N22" s="109"/>
      <c r="O22" s="70" t="s">
        <v>95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77"/>
      <c r="M23" s="109"/>
      <c r="N23" s="109"/>
      <c r="O23" s="70" t="s">
        <v>96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369554.69000000041</v>
      </c>
      <c r="K24" s="109"/>
      <c r="L24" s="17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5">
        <f>VLOOKUP(A28,ПТО!$A$39:$D$53,2,FALSE)</f>
        <v>224491.44</v>
      </c>
      <c r="G28" s="155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4">
        <f>ПТО!A40</f>
        <v>0</v>
      </c>
      <c r="B29" s="154"/>
      <c r="C29" s="154"/>
      <c r="D29" s="154"/>
      <c r="E29" s="154"/>
      <c r="F29" s="155" t="e">
        <f>VLOOKUP(A29,ПТО!$A$39:$D$53,2,FALSE)</f>
        <v>#N/A</v>
      </c>
      <c r="G29" s="155"/>
      <c r="H29" s="42" t="e">
        <f>VLOOKUP(A29,ПТО!$A$39:$D$53,3,FALSE)</f>
        <v>#N/A</v>
      </c>
      <c r="I29" s="156" t="e">
        <f>VLOOKUP(A29,ПТО!$A$39:$D$53,4,FALSE)</f>
        <v>#N/A</v>
      </c>
      <c r="J29" s="156"/>
      <c r="K29" s="109"/>
      <c r="L29" s="178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5">
        <f>VLOOKUP(A30,ПТО!$A$39:$D$53,2,FALSE)</f>
        <v>203032.68</v>
      </c>
      <c r="G30" s="155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5">
        <f>VLOOKUP(A31,ПТО!$A$39:$D$53,2,FALSE)</f>
        <v>94913.64</v>
      </c>
      <c r="G31" s="155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5">
        <f>VLOOKUP(A33,ПТО!$A$39:$D$53,2,FALSE)</f>
        <v>67677.600000000006</v>
      </c>
      <c r="G33" s="155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5">
        <f>VLOOKUP(A34,ПТО!$A$39:$D$53,2,FALSE)</f>
        <v>179923.20000000001</v>
      </c>
      <c r="G34" s="155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Работы по содержанию лифта (лифтов)</v>
      </c>
      <c r="B35" s="154"/>
      <c r="C35" s="154"/>
      <c r="D35" s="154"/>
      <c r="E35" s="154"/>
      <c r="F35" s="155">
        <f>VLOOKUP(A35,ПТО!$A$39:$D$53,2,FALSE)</f>
        <v>159289.79999999999</v>
      </c>
      <c r="G35" s="155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8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8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освидетельствование лифтов.</v>
      </c>
      <c r="B43" s="154"/>
      <c r="C43" s="154"/>
      <c r="D43" s="154"/>
      <c r="E43" s="154"/>
      <c r="F43" s="155">
        <f>VLOOKUP(A43,ПТО!$A$2:$D$31,4,FALSE)</f>
        <v>16200</v>
      </c>
      <c r="G43" s="155"/>
      <c r="H43" s="19" t="str">
        <f>VLOOKUP(A43,ПТО!$A$2:$D$31,2,FALSE)</f>
        <v>ежегодно</v>
      </c>
      <c r="I43" s="156">
        <f>VLOOKUP(A43,ПТО!$A$2:$D$31,3,FALSE)</f>
        <v>2</v>
      </c>
      <c r="J43" s="156"/>
      <c r="K43" s="109"/>
      <c r="L43" s="178"/>
      <c r="M43" s="115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4" t="str">
        <f>ПТО!A3</f>
        <v>Ремонт шлагбаума.</v>
      </c>
      <c r="B44" s="154"/>
      <c r="C44" s="154"/>
      <c r="D44" s="154"/>
      <c r="E44" s="154"/>
      <c r="F44" s="155">
        <f>VLOOKUP(A44,ПТО!$A$2:$D$31,4,FALSE)</f>
        <v>2116</v>
      </c>
      <c r="G44" s="155"/>
      <c r="H44" s="25" t="str">
        <f>VLOOKUP(A44,ПТО!$A$2:$D$31,2,FALSE)</f>
        <v>разово</v>
      </c>
      <c r="I44" s="156">
        <f>VLOOKUP(A44,ПТО!$A$2:$D$31,3,FALSE)</f>
        <v>1</v>
      </c>
      <c r="J44" s="156"/>
      <c r="K44" s="109"/>
      <c r="L44" s="178"/>
      <c r="M44" s="115"/>
      <c r="N44" s="109"/>
      <c r="O44" s="23" t="str">
        <f t="shared" si="1"/>
        <v>Ремонт шлагбаума.</v>
      </c>
      <c r="R44" s="22" t="s">
        <v>72</v>
      </c>
    </row>
    <row r="45" spans="1:18" ht="51" customHeight="1" outlineLevel="1">
      <c r="A45" s="154" t="str">
        <f>ПТО!A4</f>
        <v>Ремонт системы видеонаблюдения.</v>
      </c>
      <c r="B45" s="154"/>
      <c r="C45" s="154"/>
      <c r="D45" s="154"/>
      <c r="E45" s="154"/>
      <c r="F45" s="155">
        <f>VLOOKUP(A45,ПТО!$A$2:$D$31,4,FALSE)</f>
        <v>1536</v>
      </c>
      <c r="G45" s="155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8"/>
      <c r="M45" s="115"/>
      <c r="N45" s="109"/>
      <c r="O45" s="23" t="str">
        <f t="shared" si="1"/>
        <v>Ремонт системы видеонаблюдения.</v>
      </c>
      <c r="R45" s="22" t="s">
        <v>72</v>
      </c>
    </row>
    <row r="46" spans="1:18" ht="51" customHeight="1" outlineLevel="1">
      <c r="A46" s="154" t="str">
        <f>ПТО!A5</f>
        <v>Механизированная уборка и вывоз снега с придомовой территории.</v>
      </c>
      <c r="B46" s="154"/>
      <c r="C46" s="154"/>
      <c r="D46" s="154"/>
      <c r="E46" s="154"/>
      <c r="F46" s="155">
        <f>VLOOKUP(A46,ПТО!$A$2:$D$31,4,FALSE)</f>
        <v>21909</v>
      </c>
      <c r="G46" s="155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8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54" t="str">
        <f>ПТО!A6</f>
        <v>Ремонт шлагбаума (апрель).</v>
      </c>
      <c r="B47" s="154"/>
      <c r="C47" s="154"/>
      <c r="D47" s="154"/>
      <c r="E47" s="154"/>
      <c r="F47" s="155">
        <f>VLOOKUP(A47,ПТО!$A$2:$D$31,4,FALSE)</f>
        <v>2838</v>
      </c>
      <c r="G47" s="155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8"/>
      <c r="M47" s="115"/>
      <c r="N47" s="109"/>
      <c r="O47" s="23" t="str">
        <f t="shared" si="1"/>
        <v>Ремонт шлагбаума (апрель).</v>
      </c>
      <c r="R47" s="22" t="s">
        <v>72</v>
      </c>
    </row>
    <row r="48" spans="1:18" ht="51" customHeight="1" outlineLevel="1">
      <c r="A48" s="154" t="str">
        <f>ПТО!A7</f>
        <v>Ремонт и настройка автоматики ИТП (замена ремкомплекта для клапана).</v>
      </c>
      <c r="B48" s="154"/>
      <c r="C48" s="154"/>
      <c r="D48" s="154"/>
      <c r="E48" s="154"/>
      <c r="F48" s="155">
        <f>VLOOKUP(A48,ПТО!$A$2:$D$31,4,FALSE)</f>
        <v>13820</v>
      </c>
      <c r="G48" s="155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8"/>
      <c r="M48" s="115"/>
      <c r="N48" s="109"/>
      <c r="O48" s="23" t="str">
        <f t="shared" si="1"/>
        <v>Ремонт и настройка автоматики ИТП (замена ремкомплекта для клапана).</v>
      </c>
      <c r="R48" s="22" t="s">
        <v>72</v>
      </c>
    </row>
    <row r="49" spans="1:18" ht="51" customHeight="1" outlineLevel="1">
      <c r="A49" s="154" t="str">
        <f>ПТО!A8</f>
        <v>Проведение генеральной уборки подъездов.</v>
      </c>
      <c r="B49" s="154"/>
      <c r="C49" s="154"/>
      <c r="D49" s="154"/>
      <c r="E49" s="154"/>
      <c r="F49" s="155">
        <f>VLOOKUP(A49,ПТО!$A$2:$D$31,4,FALSE)</f>
        <v>3000</v>
      </c>
      <c r="G49" s="155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8"/>
      <c r="M49" s="115"/>
      <c r="N49" s="109"/>
      <c r="O49" s="23" t="str">
        <f t="shared" si="1"/>
        <v>Проведение генеральной уборки подъездов.</v>
      </c>
      <c r="R49" s="22" t="s">
        <v>72</v>
      </c>
    </row>
    <row r="50" spans="1:18" ht="51" customHeight="1" outlineLevel="1">
      <c r="A50" s="154" t="str">
        <f>ПТО!A9</f>
        <v>Приобретение и замена обратного клапана в ИТП.</v>
      </c>
      <c r="B50" s="154"/>
      <c r="C50" s="154"/>
      <c r="D50" s="154"/>
      <c r="E50" s="154"/>
      <c r="F50" s="155">
        <f>VLOOKUP(A50,ПТО!$A$2:$D$31,4,FALSE)</f>
        <v>4684.4799999999996</v>
      </c>
      <c r="G50" s="155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8"/>
      <c r="M50" s="115"/>
      <c r="N50" s="109"/>
      <c r="O50" s="23" t="str">
        <f t="shared" si="1"/>
        <v>Приобретение и замена обратного клапана в ИТП.</v>
      </c>
      <c r="R50" s="22" t="s">
        <v>72</v>
      </c>
    </row>
    <row r="51" spans="1:18" ht="51" customHeight="1" outlineLevel="1">
      <c r="A51" s="154" t="str">
        <f>ПТО!A10</f>
        <v>Ремонт линии питания шлагбаума.</v>
      </c>
      <c r="B51" s="154"/>
      <c r="C51" s="154"/>
      <c r="D51" s="154"/>
      <c r="E51" s="154"/>
      <c r="F51" s="155">
        <f>VLOOKUP(A51,ПТО!$A$2:$D$31,4,FALSE)</f>
        <v>7617</v>
      </c>
      <c r="G51" s="155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8"/>
      <c r="M51" s="115"/>
      <c r="N51" s="109"/>
      <c r="O51" s="23" t="str">
        <f t="shared" si="1"/>
        <v>Ремонт линии питания шлагбаума.</v>
      </c>
      <c r="R51" s="22" t="s">
        <v>72</v>
      </c>
    </row>
    <row r="52" spans="1:18" ht="51" customHeight="1" outlineLevel="1">
      <c r="A52" s="154" t="str">
        <f>ПТО!A11</f>
        <v>Замена прожектора на торце дома №24.</v>
      </c>
      <c r="B52" s="154"/>
      <c r="C52" s="154"/>
      <c r="D52" s="154"/>
      <c r="E52" s="154"/>
      <c r="F52" s="155">
        <f>VLOOKUP(A52,ПТО!$A$2:$D$31,4,FALSE)</f>
        <v>2471</v>
      </c>
      <c r="G52" s="155"/>
      <c r="H52" s="25" t="str">
        <f>VLOOKUP(A52,ПТО!$A$2:$D$31,2,FALSE)</f>
        <v>разово</v>
      </c>
      <c r="I52" s="156">
        <f>VLOOKUP(A52,ПТО!$A$2:$D$31,3,FALSE)</f>
        <v>1</v>
      </c>
      <c r="J52" s="156"/>
      <c r="K52" s="109"/>
      <c r="L52" s="178"/>
      <c r="M52" s="115"/>
      <c r="N52" s="109"/>
      <c r="O52" s="23" t="str">
        <f t="shared" si="1"/>
        <v>Замена прожектора на торце дома №24.</v>
      </c>
      <c r="R52" s="22" t="s">
        <v>72</v>
      </c>
    </row>
    <row r="53" spans="1:18" ht="51" customHeight="1" outlineLevel="1">
      <c r="A53" s="154" t="str">
        <f>ПТО!A12</f>
        <v>Замена регистратора, коммутатора и роутера системы видеонаблюдения.</v>
      </c>
      <c r="B53" s="154"/>
      <c r="C53" s="154"/>
      <c r="D53" s="154"/>
      <c r="E53" s="154"/>
      <c r="F53" s="155">
        <f>VLOOKUP(A53,ПТО!$A$2:$D$31,4,FALSE)</f>
        <v>9772.6299999999992</v>
      </c>
      <c r="G53" s="155"/>
      <c r="H53" s="25" t="str">
        <f>VLOOKUP(A53,ПТО!$A$2:$D$31,2,FALSE)</f>
        <v>разово</v>
      </c>
      <c r="I53" s="156">
        <f>VLOOKUP(A53,ПТО!$A$2:$D$31,3,FALSE)</f>
        <v>1</v>
      </c>
      <c r="J53" s="156"/>
      <c r="K53" s="109"/>
      <c r="L53" s="178"/>
      <c r="M53" s="115"/>
      <c r="N53" s="109"/>
      <c r="O53" s="23" t="str">
        <f t="shared" si="1"/>
        <v>Замена регистратора, коммутатора и роутера системы видеонаблюдения.</v>
      </c>
      <c r="R53" s="22" t="s">
        <v>72</v>
      </c>
    </row>
    <row r="54" spans="1:18" ht="51" customHeight="1" outlineLevel="1">
      <c r="A54" s="154" t="str">
        <f>ПТО!A13</f>
        <v>Приобретение полусфер и краски для разметки парковочных мест.</v>
      </c>
      <c r="B54" s="154"/>
      <c r="C54" s="154"/>
      <c r="D54" s="154"/>
      <c r="E54" s="154"/>
      <c r="F54" s="155">
        <f>VLOOKUP(A54,ПТО!$A$2:$D$31,4,FALSE)</f>
        <v>8697.7999999999993</v>
      </c>
      <c r="G54" s="155"/>
      <c r="H54" s="25" t="str">
        <f>VLOOKUP(A54,ПТО!$A$2:$D$31,2,FALSE)</f>
        <v>разово</v>
      </c>
      <c r="I54" s="156">
        <f>VLOOKUP(A54,ПТО!$A$2:$D$31,3,FALSE)</f>
        <v>1</v>
      </c>
      <c r="J54" s="156"/>
      <c r="K54" s="109"/>
      <c r="L54" s="178"/>
      <c r="M54" s="115"/>
      <c r="N54" s="109"/>
      <c r="O54" s="23" t="str">
        <f t="shared" si="1"/>
        <v>Приобретение полусфер и краски для разметки парковочных мест.</v>
      </c>
      <c r="R54" s="22" t="s">
        <v>72</v>
      </c>
    </row>
    <row r="55" spans="1:18" ht="51" customHeight="1" outlineLevel="1">
      <c r="A55" s="154" t="str">
        <f>ПТО!A14</f>
        <v>Монтаж водосточной системы и греющего кабеля.</v>
      </c>
      <c r="B55" s="154"/>
      <c r="C55" s="154"/>
      <c r="D55" s="154"/>
      <c r="E55" s="154"/>
      <c r="F55" s="155">
        <f>VLOOKUP(A55,ПТО!$A$2:$D$31,4,FALSE)</f>
        <v>67987</v>
      </c>
      <c r="G55" s="155"/>
      <c r="H55" s="25" t="str">
        <f>VLOOKUP(A55,ПТО!$A$2:$D$31,2,FALSE)</f>
        <v>разово</v>
      </c>
      <c r="I55" s="156">
        <f>VLOOKUP(A55,ПТО!$A$2:$D$31,3,FALSE)</f>
        <v>1</v>
      </c>
      <c r="J55" s="156"/>
      <c r="K55" s="109"/>
      <c r="L55" s="178"/>
      <c r="M55" s="115"/>
      <c r="N55" s="109"/>
      <c r="O55" s="23" t="str">
        <f t="shared" si="1"/>
        <v>Монтаж водосточной системы и греющего кабеля.</v>
      </c>
      <c r="R55" s="22" t="s">
        <v>72</v>
      </c>
    </row>
    <row r="56" spans="1:18" ht="51" customHeight="1" outlineLevel="1">
      <c r="A56" s="154" t="str">
        <f>ПТО!A15</f>
        <v>Ремонт стойки шлагбаума и регулировка концевых положений.</v>
      </c>
      <c r="B56" s="154"/>
      <c r="C56" s="154"/>
      <c r="D56" s="154"/>
      <c r="E56" s="154"/>
      <c r="F56" s="155">
        <f>VLOOKUP(A56,ПТО!$A$2:$D$31,4,FALSE)</f>
        <v>2323</v>
      </c>
      <c r="G56" s="155"/>
      <c r="H56" s="25" t="str">
        <f>VLOOKUP(A56,ПТО!$A$2:$D$31,2,FALSE)</f>
        <v>разово</v>
      </c>
      <c r="I56" s="156">
        <f>VLOOKUP(A56,ПТО!$A$2:$D$31,3,FALSE)</f>
        <v>1</v>
      </c>
      <c r="J56" s="156"/>
      <c r="K56" s="109"/>
      <c r="L56" s="178"/>
      <c r="M56" s="115"/>
      <c r="N56" s="109"/>
      <c r="O56" s="23" t="str">
        <f t="shared" si="1"/>
        <v>Ремонт стойки шлагбаума и регулировка концевых положений.</v>
      </c>
      <c r="R56" s="22" t="s">
        <v>72</v>
      </c>
    </row>
    <row r="57" spans="1:18" ht="51" customHeight="1" outlineLevel="1">
      <c r="A57" s="154" t="str">
        <f>ПТО!A16</f>
        <v>Замена рифленого алюминиевого листа в лифте (1 подъезд).</v>
      </c>
      <c r="B57" s="154"/>
      <c r="C57" s="154"/>
      <c r="D57" s="154"/>
      <c r="E57" s="154"/>
      <c r="F57" s="155">
        <f>VLOOKUP(A57,ПТО!$A$2:$D$31,4,FALSE)</f>
        <v>5600</v>
      </c>
      <c r="G57" s="155"/>
      <c r="H57" s="25" t="str">
        <f>VLOOKUP(A57,ПТО!$A$2:$D$31,2,FALSE)</f>
        <v>разово</v>
      </c>
      <c r="I57" s="156">
        <f>VLOOKUP(A57,ПТО!$A$2:$D$31,3,FALSE)</f>
        <v>1</v>
      </c>
      <c r="J57" s="156"/>
      <c r="K57" s="109"/>
      <c r="L57" s="178"/>
      <c r="M57" s="115"/>
      <c r="N57" s="109"/>
      <c r="O57" s="23" t="str">
        <f t="shared" si="1"/>
        <v>Замена рифленого алюминиевого листа в лифте (1 подъезд).</v>
      </c>
      <c r="R57" s="22" t="s">
        <v>72</v>
      </c>
    </row>
    <row r="58" spans="1:18" ht="51" customHeight="1" outlineLevel="1">
      <c r="A58" s="154" t="str">
        <f>ПТО!A17</f>
        <v>Приобретение и замена прорезиненных дорожек.</v>
      </c>
      <c r="B58" s="154"/>
      <c r="C58" s="154"/>
      <c r="D58" s="154"/>
      <c r="E58" s="154"/>
      <c r="F58" s="155">
        <f>VLOOKUP(A58,ПТО!$A$2:$D$31,4,FALSE)</f>
        <v>7912</v>
      </c>
      <c r="G58" s="155"/>
      <c r="H58" s="25" t="str">
        <f>VLOOKUP(A58,ПТО!$A$2:$D$31,2,FALSE)</f>
        <v>разово</v>
      </c>
      <c r="I58" s="156">
        <f>VLOOKUP(A58,ПТО!$A$2:$D$31,3,FALSE)</f>
        <v>1</v>
      </c>
      <c r="J58" s="156"/>
      <c r="K58" s="109"/>
      <c r="L58" s="178"/>
      <c r="M58" s="115"/>
      <c r="N58" s="109"/>
      <c r="O58" s="23" t="str">
        <f t="shared" si="1"/>
        <v>Приобретение и замена прорезиненных дорожек.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5"/>
      <c r="L71" s="17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9"/>
      <c r="L75" s="161"/>
      <c r="M75" s="109"/>
      <c r="N75" s="109"/>
      <c r="O75" s="70" t="s">
        <v>98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9"/>
      <c r="L76" s="161"/>
      <c r="M76" s="109"/>
      <c r="N76" s="109"/>
      <c r="O76" s="70" t="s">
        <v>99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9"/>
      <c r="L77" s="161"/>
      <c r="M77" s="109"/>
      <c r="N77" s="109"/>
      <c r="O77" s="70" t="s">
        <v>100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7">
        <f>VLOOKUP(O78,АО,3,FALSE)</f>
        <v>0</v>
      </c>
      <c r="K78" s="109"/>
      <c r="L78" s="161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9"/>
      <c r="M81" s="109"/>
      <c r="N81" s="109"/>
      <c r="O81" s="70" t="s">
        <v>102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9"/>
      <c r="M82" s="109"/>
      <c r="N82" s="109"/>
      <c r="O82" s="70" t="s">
        <v>103</v>
      </c>
    </row>
    <row r="83" spans="1:15" outlineLevel="1">
      <c r="A83" s="169" t="s">
        <v>4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123084.57</v>
      </c>
      <c r="K83" s="109"/>
      <c r="L83" s="179"/>
      <c r="M83" s="109"/>
      <c r="N83" s="109"/>
      <c r="O83" s="70" t="s">
        <v>104</v>
      </c>
    </row>
    <row r="84" spans="1:15" outlineLevel="1">
      <c r="A84" s="169" t="s">
        <v>16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79"/>
      <c r="M84" s="109"/>
      <c r="N84" s="109"/>
      <c r="O84" s="70" t="s">
        <v>105</v>
      </c>
    </row>
    <row r="85" spans="1:15" outlineLevel="1">
      <c r="A85" s="169" t="s">
        <v>17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79"/>
      <c r="M85" s="109"/>
      <c r="N85" s="109"/>
      <c r="O85" s="70" t="s">
        <v>106</v>
      </c>
    </row>
    <row r="86" spans="1:15" outlineLevel="1">
      <c r="A86" s="169" t="s">
        <v>18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154471.69</v>
      </c>
      <c r="K86" s="109"/>
      <c r="L86" s="179"/>
      <c r="M86" s="109"/>
      <c r="N86" s="109"/>
      <c r="O86" s="70" t="s">
        <v>107</v>
      </c>
    </row>
    <row r="87" spans="1:15" ht="18.75" customHeight="1" outlineLevel="1">
      <c r="A87" s="169" t="s">
        <v>27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79"/>
      <c r="M87" s="109"/>
      <c r="N87" s="109"/>
      <c r="O87" s="70" t="s">
        <v>108</v>
      </c>
    </row>
    <row r="88" spans="1:15" ht="18.75" customHeight="1" outlineLevel="1">
      <c r="A88" s="169" t="s">
        <v>28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79"/>
      <c r="M88" s="109"/>
      <c r="N88" s="109"/>
      <c r="O88" s="70" t="s">
        <v>109</v>
      </c>
    </row>
    <row r="89" spans="1:15" ht="18.75" customHeight="1" outlineLevel="1">
      <c r="A89" s="169" t="s">
        <v>29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79"/>
      <c r="M89" s="109"/>
      <c r="N89" s="109"/>
      <c r="O89" s="70" t="s">
        <v>110</v>
      </c>
    </row>
    <row r="90" spans="1:15" ht="18.75" customHeight="1" outlineLevel="1">
      <c r="A90" s="169" t="s">
        <v>30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7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3" t="s">
        <v>48</v>
      </c>
      <c r="B93" s="163"/>
      <c r="C93" s="163"/>
      <c r="D93" s="166" t="s">
        <v>49</v>
      </c>
      <c r="E93" s="166"/>
      <c r="F93" s="10" t="s">
        <v>50</v>
      </c>
      <c r="G93" s="163" t="s">
        <v>51</v>
      </c>
      <c r="H93" s="163"/>
      <c r="I93" s="163"/>
      <c r="J93" s="163"/>
      <c r="K93" s="109"/>
      <c r="L93" s="109"/>
      <c r="M93" s="109"/>
      <c r="N93" s="109"/>
    </row>
    <row r="94" spans="1:15" hidden="1" outlineLevel="1">
      <c r="A94" s="167">
        <f>IF(VLOOKUP("эл",АО,3,FALSE)&gt;0,"Электроснабжение",0)</f>
        <v>0</v>
      </c>
      <c r="B94" s="167"/>
      <c r="C94" s="167"/>
      <c r="D94" s="165">
        <f>IF(VLOOKUP("эл",АО,3,FALSE)&gt;0,VLOOKUP("эл",АО,3,FALSE),0)</f>
        <v>0</v>
      </c>
      <c r="E94" s="165"/>
      <c r="F94" s="13">
        <f>IF(VLOOKUP("эл",АО,3,FALSE)&gt;0,VLOOKUP("эл",АО,4,FALSE),0)</f>
        <v>0</v>
      </c>
      <c r="G94" s="164">
        <f>VLOOKUP("эл",АО,5,FALSE)</f>
        <v>0</v>
      </c>
      <c r="H94" s="165"/>
      <c r="I94" s="165"/>
      <c r="J94" s="165"/>
      <c r="K94" s="1" t="str">
        <f>VLOOKUP("эл",АО,2,FALSE)</f>
        <v>Электроснабжение</v>
      </c>
      <c r="L94" s="180"/>
    </row>
    <row r="95" spans="1:15" hidden="1" outlineLevel="2">
      <c r="A95" s="168">
        <f>IF(VLOOKUP("эл",АО,3,FALSE)&gt;0,VLOOKUP("эл1",АО,2,FALSE),0)</f>
        <v>0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0</v>
      </c>
      <c r="L95" s="180"/>
      <c r="O95" s="1" t="s">
        <v>112</v>
      </c>
    </row>
    <row r="96" spans="1:15" hidden="1" outlineLevel="2">
      <c r="A96" s="168">
        <f>IF(VLOOKUP("эл",АО,3,FALSE)&gt;0,VLOOKUP("эл2",АО,2,FALSE),0)</f>
        <v>0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0</v>
      </c>
      <c r="L96" s="180"/>
      <c r="O96" s="1" t="s">
        <v>113</v>
      </c>
    </row>
    <row r="97" spans="1:15" hidden="1" outlineLevel="2">
      <c r="A97" s="168">
        <f>IF(VLOOKUP("эл",АО,3,FALSE)&gt;0,VLOOKUP("эл3",АО,2,FALSE),0)</f>
        <v>0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80"/>
      <c r="O97" s="1" t="s">
        <v>114</v>
      </c>
    </row>
    <row r="98" spans="1:15" ht="37.5" hidden="1" customHeight="1" outlineLevel="2">
      <c r="A98" s="168">
        <f>IF(VLOOKUP("эл",АО,3,FALSE)&gt;0,VLOOKUP("эл4",АО,2,FALSE),0)</f>
        <v>0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0</v>
      </c>
      <c r="L98" s="180"/>
      <c r="O98" s="1" t="s">
        <v>115</v>
      </c>
    </row>
    <row r="99" spans="1:15" hidden="1" outlineLevel="2">
      <c r="A99" s="168">
        <f>IF(VLOOKUP("эл",АО,3,FALSE)&gt;0,VLOOKUP("эл5",АО,2,FALSE),0)</f>
        <v>0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0</v>
      </c>
      <c r="L99" s="180"/>
      <c r="O99" s="1" t="s">
        <v>116</v>
      </c>
    </row>
    <row r="100" spans="1:15" ht="39" hidden="1" customHeight="1" outlineLevel="2">
      <c r="A100" s="168">
        <f>IF(VLOOKUP("эл",АО,3,FALSE)&gt;0,VLOOKUP("эл6",АО,2,FALSE),0)</f>
        <v>0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80"/>
      <c r="O100" s="1" t="s">
        <v>117</v>
      </c>
    </row>
    <row r="101" spans="1:15" ht="34.5" hidden="1" customHeight="1" outlineLevel="2">
      <c r="A101" s="168">
        <f>IF(VLOOKUP("эл",АО,3,FALSE)&gt;0,VLOOKUP("эл7",АО,2,FALSE),0)</f>
        <v>0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80"/>
      <c r="O101" s="1" t="s">
        <v>118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4">
        <f>VLOOKUP("хвс",АО,5,FALSE)</f>
        <v>111916.23000000003</v>
      </c>
      <c r="H102" s="165"/>
      <c r="I102" s="165"/>
      <c r="J102" s="165"/>
      <c r="L102" s="180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7461.818363654309</v>
      </c>
      <c r="L103" s="180"/>
      <c r="O103" s="1" t="s">
        <v>121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102971.46000000005</v>
      </c>
      <c r="L104" s="180"/>
      <c r="O104" s="1" t="s">
        <v>122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8944.769999999975</v>
      </c>
      <c r="L105" s="180"/>
      <c r="O105" s="1" t="s">
        <v>123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111916.23000000003</v>
      </c>
      <c r="L106" s="180"/>
      <c r="O106" s="1" t="s">
        <v>124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111916.23000000003</v>
      </c>
      <c r="L107" s="180"/>
      <c r="O107" s="1" t="s">
        <v>125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80"/>
      <c r="O108" s="1" t="s">
        <v>126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80"/>
      <c r="O109" s="1" t="s">
        <v>127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4">
        <f>VLOOKUP("воо",АО,5,FALSE)</f>
        <v>218212.10000000003</v>
      </c>
      <c r="H110" s="165"/>
      <c r="I110" s="165"/>
      <c r="J110" s="165"/>
      <c r="L110" s="180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13110.088008443618</v>
      </c>
      <c r="L111" s="180"/>
      <c r="O111" s="1" t="s">
        <v>129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195769.74999999991</v>
      </c>
      <c r="L112" s="180"/>
      <c r="O112" s="1" t="s">
        <v>130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22442.350000000122</v>
      </c>
      <c r="L113" s="180"/>
      <c r="O113" s="1" t="s">
        <v>131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218212.10000000003</v>
      </c>
      <c r="L114" s="180"/>
      <c r="O114" s="1" t="s">
        <v>132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218212.10000000003</v>
      </c>
      <c r="L115" s="180"/>
      <c r="O115" s="1" t="s">
        <v>133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80"/>
      <c r="O116" s="1" t="s">
        <v>134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80"/>
      <c r="O117" s="1" t="s">
        <v>135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5">
        <f>IF(VLOOKUP("тко",АО,3,FALSE)&gt;0,VLOOKUP("тко",АО,3,FALSE),0)</f>
        <v>0</v>
      </c>
      <c r="E118" s="165"/>
      <c r="F118" s="13">
        <f>IF(VLOOKUP("тко",АО,3,FALSE)&gt;0,VLOOKUP("тко",АО,4,FALSE),0)</f>
        <v>0</v>
      </c>
      <c r="G118" s="164">
        <f>VLOOKUP("тко",АО,5,FALSE)</f>
        <v>0</v>
      </c>
      <c r="H118" s="165"/>
      <c r="I118" s="165"/>
      <c r="J118" s="165"/>
      <c r="L118" s="47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4">
        <f>VLOOKUP("гвс",АО,5,FALSE)</f>
        <v>0</v>
      </c>
      <c r="H126" s="165"/>
      <c r="I126" s="165"/>
      <c r="J126" s="165"/>
      <c r="L126" s="47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169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62" t="s">
        <v>172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0</v>
      </c>
      <c r="O146" t="s">
        <v>171</v>
      </c>
    </row>
    <row r="149" spans="1:15" ht="52.5" customHeight="1">
      <c r="A149" s="158" t="s">
        <v>183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57" t="s">
        <v>195</v>
      </c>
      <c r="B154" s="157"/>
      <c r="C154" s="157"/>
      <c r="D154" s="157"/>
      <c r="E154" s="27">
        <f>ПТО!G1</f>
        <v>-653632.32999999996</v>
      </c>
    </row>
    <row r="155" spans="1:15" ht="34.5" customHeight="1">
      <c r="A155" s="159" t="s">
        <v>194</v>
      </c>
      <c r="B155" s="159"/>
      <c r="C155" s="159"/>
      <c r="D155" s="159"/>
      <c r="E155" s="28">
        <f>J13</f>
        <v>325182.38399999996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4" t="str">
        <f t="shared" ref="A158:A163" si="14">IF(N158&gt;0,N158,0)</f>
        <v>Техническое освидетельствование лифтов.</v>
      </c>
      <c r="B158" s="154"/>
      <c r="C158" s="154"/>
      <c r="D158" s="154"/>
      <c r="E158" s="154"/>
      <c r="F158" s="155">
        <f t="shared" ref="F158:F163" si="15">IF(ISERROR(VLOOKUP(A158,$A$28:$J$72,6,FALSE)),0,VLOOKUP(A158,$A$28:$J$72,6,FALSE))</f>
        <v>16200</v>
      </c>
      <c r="G158" s="155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2</v>
      </c>
      <c r="J158" s="15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4" t="str">
        <f t="shared" si="14"/>
        <v>Ремонт шлагбаума.</v>
      </c>
      <c r="B159" s="154"/>
      <c r="C159" s="154"/>
      <c r="D159" s="154"/>
      <c r="E159" s="154"/>
      <c r="F159" s="155">
        <f t="shared" si="15"/>
        <v>2116</v>
      </c>
      <c r="G159" s="155"/>
      <c r="H159" s="24" t="str">
        <f t="shared" si="16"/>
        <v>разово</v>
      </c>
      <c r="I159" s="156">
        <f t="shared" si="17"/>
        <v>1</v>
      </c>
      <c r="J159" s="156"/>
      <c r="M159" s="22" t="s">
        <v>72</v>
      </c>
      <c r="N159" s="1" t="str">
        <v>Ремонт шлагбаума.</v>
      </c>
    </row>
    <row r="160" spans="1:15" ht="28.5" customHeight="1">
      <c r="A160" s="154" t="str">
        <f t="shared" si="14"/>
        <v>Ремонт системы видеонаблюдения.</v>
      </c>
      <c r="B160" s="154"/>
      <c r="C160" s="154"/>
      <c r="D160" s="154"/>
      <c r="E160" s="154"/>
      <c r="F160" s="155">
        <f t="shared" si="15"/>
        <v>1536</v>
      </c>
      <c r="G160" s="155"/>
      <c r="H160" s="24" t="str">
        <f t="shared" si="16"/>
        <v>разово</v>
      </c>
      <c r="I160" s="156">
        <f t="shared" si="17"/>
        <v>1</v>
      </c>
      <c r="J160" s="156"/>
      <c r="M160" s="22" t="s">
        <v>72</v>
      </c>
      <c r="N160" s="1" t="str">
        <v>Ремонт системы видеонаблюдения.</v>
      </c>
    </row>
    <row r="161" spans="1:14" ht="28.5" customHeight="1">
      <c r="A161" s="154" t="str">
        <f>IF(N161&gt;0,N161,0)</f>
        <v>Механизированная уборка и вывоз снега с придомовой территории.</v>
      </c>
      <c r="B161" s="154"/>
      <c r="C161" s="154"/>
      <c r="D161" s="154"/>
      <c r="E161" s="154"/>
      <c r="F161" s="155">
        <f t="shared" si="15"/>
        <v>21909</v>
      </c>
      <c r="G161" s="155"/>
      <c r="H161" s="24" t="str">
        <f t="shared" si="16"/>
        <v>разово</v>
      </c>
      <c r="I161" s="156">
        <f t="shared" si="17"/>
        <v>1</v>
      </c>
      <c r="J161" s="156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4" t="str">
        <f t="shared" si="14"/>
        <v>Ремонт шлагбаума (апрель).</v>
      </c>
      <c r="B162" s="154"/>
      <c r="C162" s="154"/>
      <c r="D162" s="154"/>
      <c r="E162" s="154"/>
      <c r="F162" s="155">
        <f t="shared" si="15"/>
        <v>2838</v>
      </c>
      <c r="G162" s="155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72</v>
      </c>
      <c r="N162" s="1" t="str">
        <v>Ремонт шлагбаума (апрель).</v>
      </c>
    </row>
    <row r="163" spans="1:14" ht="28.5" customHeight="1">
      <c r="A163" s="154" t="str">
        <f t="shared" si="14"/>
        <v>Ремонт и настройка автоматики ИТП (замена ремкомплекта для клапана).</v>
      </c>
      <c r="B163" s="154"/>
      <c r="C163" s="154"/>
      <c r="D163" s="154"/>
      <c r="E163" s="154"/>
      <c r="F163" s="155">
        <f t="shared" si="15"/>
        <v>13820</v>
      </c>
      <c r="G163" s="155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72</v>
      </c>
      <c r="N163" s="1" t="str">
        <v>Ремонт и настройка автоматики ИТП (замена ремкомплекта для клапана).</v>
      </c>
    </row>
    <row r="164" spans="1:14" ht="28.5" customHeight="1">
      <c r="A164" s="154" t="str">
        <f t="shared" ref="A164:A187" si="18">IF(N164&gt;0,N164,0)</f>
        <v>Проведение генеральной уборки подъездов.</v>
      </c>
      <c r="B164" s="154"/>
      <c r="C164" s="154"/>
      <c r="D164" s="154"/>
      <c r="E164" s="154"/>
      <c r="F164" s="155">
        <f t="shared" ref="F164:F187" si="19">IF(ISERROR(VLOOKUP(A164,$A$28:$J$72,6,FALSE)),0,VLOOKUP(A164,$A$28:$J$72,6,FALSE))</f>
        <v>3000</v>
      </c>
      <c r="G164" s="155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72</v>
      </c>
      <c r="N164" s="1" t="str">
        <v>Проведение генеральной уборки подъездов.</v>
      </c>
    </row>
    <row r="165" spans="1:14" ht="28.5" customHeight="1">
      <c r="A165" s="154" t="str">
        <f t="shared" si="18"/>
        <v>Приобретение и замена обратного клапана в ИТП.</v>
      </c>
      <c r="B165" s="154"/>
      <c r="C165" s="154"/>
      <c r="D165" s="154"/>
      <c r="E165" s="154"/>
      <c r="F165" s="155">
        <f t="shared" si="19"/>
        <v>4684.4799999999996</v>
      </c>
      <c r="G165" s="155"/>
      <c r="H165" s="29" t="str">
        <f t="shared" si="16"/>
        <v>разово</v>
      </c>
      <c r="I165" s="156">
        <f t="shared" si="20"/>
        <v>1</v>
      </c>
      <c r="J165" s="156"/>
      <c r="M165" s="22" t="s">
        <v>72</v>
      </c>
      <c r="N165" s="1" t="str">
        <v>Приобретение и замена обратного клапана в ИТП.</v>
      </c>
    </row>
    <row r="166" spans="1:14" ht="28.5" customHeight="1">
      <c r="A166" s="154" t="str">
        <f t="shared" si="18"/>
        <v>Ремонт линии питания шлагбаума.</v>
      </c>
      <c r="B166" s="154"/>
      <c r="C166" s="154"/>
      <c r="D166" s="154"/>
      <c r="E166" s="154"/>
      <c r="F166" s="155">
        <f t="shared" si="19"/>
        <v>7617</v>
      </c>
      <c r="G166" s="155"/>
      <c r="H166" s="29" t="str">
        <f t="shared" si="16"/>
        <v>разово</v>
      </c>
      <c r="I166" s="156">
        <f t="shared" si="20"/>
        <v>1</v>
      </c>
      <c r="J166" s="156"/>
      <c r="M166" s="22" t="s">
        <v>72</v>
      </c>
      <c r="N166" s="1" t="str">
        <v>Ремонт линии питания шлагбаума.</v>
      </c>
    </row>
    <row r="167" spans="1:14" ht="28.5" customHeight="1">
      <c r="A167" s="154" t="str">
        <f t="shared" si="18"/>
        <v>Замена прожектора на торце дома №24.</v>
      </c>
      <c r="B167" s="154"/>
      <c r="C167" s="154"/>
      <c r="D167" s="154"/>
      <c r="E167" s="154"/>
      <c r="F167" s="155">
        <f t="shared" si="19"/>
        <v>2471</v>
      </c>
      <c r="G167" s="155"/>
      <c r="H167" s="29" t="str">
        <f t="shared" si="16"/>
        <v>разово</v>
      </c>
      <c r="I167" s="156">
        <f t="shared" si="20"/>
        <v>1</v>
      </c>
      <c r="J167" s="156"/>
      <c r="M167" s="22" t="s">
        <v>72</v>
      </c>
      <c r="N167" s="1" t="str">
        <v>Замена прожектора на торце дома №24.</v>
      </c>
    </row>
    <row r="168" spans="1:14" ht="28.5" customHeight="1">
      <c r="A168" s="154" t="str">
        <f t="shared" si="18"/>
        <v>Замена регистратора, коммутатора и роутера системы видеонаблюдения.</v>
      </c>
      <c r="B168" s="154"/>
      <c r="C168" s="154"/>
      <c r="D168" s="154"/>
      <c r="E168" s="154"/>
      <c r="F168" s="155">
        <f t="shared" si="19"/>
        <v>9772.6299999999992</v>
      </c>
      <c r="G168" s="155"/>
      <c r="H168" s="29" t="str">
        <f t="shared" si="16"/>
        <v>разово</v>
      </c>
      <c r="I168" s="156">
        <f t="shared" si="20"/>
        <v>1</v>
      </c>
      <c r="J168" s="156"/>
      <c r="M168" s="22" t="s">
        <v>72</v>
      </c>
      <c r="N168" s="1" t="str">
        <v>Замена регистратора, коммутатора и роутера системы видеонаблюдения.</v>
      </c>
    </row>
    <row r="169" spans="1:14" ht="28.5" customHeight="1">
      <c r="A169" s="154" t="str">
        <f t="shared" si="18"/>
        <v>Приобретение полусфер и краски для разметки парковочных мест.</v>
      </c>
      <c r="B169" s="154"/>
      <c r="C169" s="154"/>
      <c r="D169" s="154"/>
      <c r="E169" s="154"/>
      <c r="F169" s="155">
        <f t="shared" si="19"/>
        <v>8697.7999999999993</v>
      </c>
      <c r="G169" s="155"/>
      <c r="H169" s="29" t="str">
        <f t="shared" si="16"/>
        <v>разово</v>
      </c>
      <c r="I169" s="156">
        <f t="shared" si="20"/>
        <v>1</v>
      </c>
      <c r="J169" s="156"/>
      <c r="M169" s="22" t="s">
        <v>72</v>
      </c>
      <c r="N169" s="1" t="str">
        <v>Приобретение полусфер и краски для разметки парковочных мест.</v>
      </c>
    </row>
    <row r="170" spans="1:14" ht="28.5" customHeight="1">
      <c r="A170" s="154" t="str">
        <f t="shared" si="18"/>
        <v>Монтаж водосточной системы и греющего кабеля.</v>
      </c>
      <c r="B170" s="154"/>
      <c r="C170" s="154"/>
      <c r="D170" s="154"/>
      <c r="E170" s="154"/>
      <c r="F170" s="155">
        <f t="shared" si="19"/>
        <v>67987</v>
      </c>
      <c r="G170" s="155"/>
      <c r="H170" s="29" t="str">
        <f t="shared" si="16"/>
        <v>разово</v>
      </c>
      <c r="I170" s="156">
        <f t="shared" si="20"/>
        <v>1</v>
      </c>
      <c r="J170" s="156"/>
      <c r="M170" s="22" t="s">
        <v>72</v>
      </c>
      <c r="N170" s="1" t="str">
        <v>Монтаж водосточной системы и греющего кабеля.</v>
      </c>
    </row>
    <row r="171" spans="1:14" ht="28.5" customHeight="1">
      <c r="A171" s="154" t="str">
        <f t="shared" si="18"/>
        <v>Ремонт стойки шлагбаума и регулировка концевых положений.</v>
      </c>
      <c r="B171" s="154"/>
      <c r="C171" s="154"/>
      <c r="D171" s="154"/>
      <c r="E171" s="154"/>
      <c r="F171" s="155">
        <f t="shared" si="19"/>
        <v>2323</v>
      </c>
      <c r="G171" s="155"/>
      <c r="H171" s="29" t="str">
        <f t="shared" si="16"/>
        <v>разово</v>
      </c>
      <c r="I171" s="156">
        <f t="shared" si="20"/>
        <v>1</v>
      </c>
      <c r="J171" s="156"/>
      <c r="M171" s="22" t="s">
        <v>72</v>
      </c>
      <c r="N171" s="1" t="str">
        <v>Ремонт стойки шлагбаума и регулировка концевых положений.</v>
      </c>
    </row>
    <row r="172" spans="1:14" ht="28.5" customHeight="1">
      <c r="A172" s="154" t="str">
        <f t="shared" si="18"/>
        <v>Замена рифленого алюминиевого листа в лифте (1 подъезд).</v>
      </c>
      <c r="B172" s="154"/>
      <c r="C172" s="154"/>
      <c r="D172" s="154"/>
      <c r="E172" s="154"/>
      <c r="F172" s="155">
        <f t="shared" si="19"/>
        <v>5600</v>
      </c>
      <c r="G172" s="155"/>
      <c r="H172" s="29" t="str">
        <f t="shared" si="16"/>
        <v>разово</v>
      </c>
      <c r="I172" s="156">
        <f t="shared" si="20"/>
        <v>1</v>
      </c>
      <c r="J172" s="156"/>
      <c r="M172" s="22" t="s">
        <v>72</v>
      </c>
      <c r="N172" s="1" t="str">
        <v>Замена рифленого алюминиевого листа в лифте (1 подъезд).</v>
      </c>
    </row>
    <row r="173" spans="1:14" ht="28.5" customHeight="1">
      <c r="A173" s="154" t="str">
        <f t="shared" si="18"/>
        <v>Приобретение и замена прорезиненных дорожек.</v>
      </c>
      <c r="B173" s="154"/>
      <c r="C173" s="154"/>
      <c r="D173" s="154"/>
      <c r="E173" s="154"/>
      <c r="F173" s="155">
        <f t="shared" si="19"/>
        <v>7912</v>
      </c>
      <c r="G173" s="155"/>
      <c r="H173" s="29" t="str">
        <f t="shared" si="16"/>
        <v>разово</v>
      </c>
      <c r="I173" s="156">
        <f t="shared" si="20"/>
        <v>1</v>
      </c>
      <c r="J173" s="156"/>
      <c r="M173" s="22" t="s">
        <v>72</v>
      </c>
      <c r="N173" s="1" t="str">
        <v>Приобретение и замена прорезиненных дорожек.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5">
        <f t="shared" si="19"/>
        <v>0</v>
      </c>
      <c r="G174" s="155"/>
      <c r="H174" s="29" t="e">
        <f t="shared" si="16"/>
        <v>#N/A</v>
      </c>
      <c r="I174" s="156" t="e">
        <f t="shared" si="20"/>
        <v>#N/A</v>
      </c>
      <c r="J174" s="156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5">
        <f t="shared" si="19"/>
        <v>0</v>
      </c>
      <c r="G175" s="155"/>
      <c r="H175" s="29" t="e">
        <f t="shared" si="16"/>
        <v>#N/A</v>
      </c>
      <c r="I175" s="156" t="e">
        <f t="shared" si="20"/>
        <v>#N/A</v>
      </c>
      <c r="J175" s="156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5">
        <f t="shared" si="19"/>
        <v>0</v>
      </c>
      <c r="G176" s="155"/>
      <c r="H176" s="29" t="e">
        <f t="shared" si="16"/>
        <v>#N/A</v>
      </c>
      <c r="I176" s="156" t="e">
        <f t="shared" si="20"/>
        <v>#N/A</v>
      </c>
      <c r="J176" s="156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5">
        <f t="shared" si="19"/>
        <v>0</v>
      </c>
      <c r="G177" s="155"/>
      <c r="H177" s="29" t="e">
        <f t="shared" si="16"/>
        <v>#N/A</v>
      </c>
      <c r="I177" s="156" t="e">
        <f t="shared" si="20"/>
        <v>#N/A</v>
      </c>
      <c r="J177" s="156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5">
        <f t="shared" si="19"/>
        <v>0</v>
      </c>
      <c r="G178" s="155"/>
      <c r="H178" s="29" t="e">
        <f t="shared" si="16"/>
        <v>#N/A</v>
      </c>
      <c r="I178" s="156" t="e">
        <f t="shared" si="20"/>
        <v>#N/A</v>
      </c>
      <c r="J178" s="156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5">
        <f t="shared" si="19"/>
        <v>0</v>
      </c>
      <c r="G179" s="155"/>
      <c r="H179" s="29" t="e">
        <f t="shared" si="16"/>
        <v>#N/A</v>
      </c>
      <c r="I179" s="156" t="e">
        <f t="shared" si="20"/>
        <v>#N/A</v>
      </c>
      <c r="J179" s="156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5">
        <f t="shared" si="19"/>
        <v>0</v>
      </c>
      <c r="G180" s="155"/>
      <c r="H180" s="29" t="e">
        <f t="shared" si="16"/>
        <v>#N/A</v>
      </c>
      <c r="I180" s="156" t="e">
        <f t="shared" si="20"/>
        <v>#N/A</v>
      </c>
      <c r="J180" s="156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5">
        <f t="shared" si="19"/>
        <v>0</v>
      </c>
      <c r="G181" s="155"/>
      <c r="H181" s="29" t="e">
        <f t="shared" si="16"/>
        <v>#N/A</v>
      </c>
      <c r="I181" s="156" t="e">
        <f t="shared" si="20"/>
        <v>#N/A</v>
      </c>
      <c r="J181" s="156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5">
        <f t="shared" si="19"/>
        <v>0</v>
      </c>
      <c r="G182" s="155"/>
      <c r="H182" s="29" t="e">
        <f t="shared" si="16"/>
        <v>#N/A</v>
      </c>
      <c r="I182" s="156" t="e">
        <f t="shared" si="20"/>
        <v>#N/A</v>
      </c>
      <c r="J182" s="156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5">
        <f t="shared" si="19"/>
        <v>0</v>
      </c>
      <c r="G183" s="155"/>
      <c r="H183" s="29" t="e">
        <f t="shared" si="16"/>
        <v>#N/A</v>
      </c>
      <c r="I183" s="156" t="e">
        <f t="shared" si="20"/>
        <v>#N/A</v>
      </c>
      <c r="J183" s="156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5">
        <f t="shared" si="19"/>
        <v>0</v>
      </c>
      <c r="G184" s="155"/>
      <c r="H184" s="29" t="e">
        <f t="shared" si="16"/>
        <v>#N/A</v>
      </c>
      <c r="I184" s="156" t="e">
        <f t="shared" si="20"/>
        <v>#N/A</v>
      </c>
      <c r="J184" s="156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5">
        <f t="shared" si="19"/>
        <v>0</v>
      </c>
      <c r="G185" s="155"/>
      <c r="H185" s="29" t="e">
        <f t="shared" si="16"/>
        <v>#N/A</v>
      </c>
      <c r="I185" s="156" t="e">
        <f t="shared" si="20"/>
        <v>#N/A</v>
      </c>
      <c r="J185" s="156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5">
        <f t="shared" si="19"/>
        <v>0</v>
      </c>
      <c r="G186" s="155"/>
      <c r="H186" s="29" t="e">
        <f t="shared" si="16"/>
        <v>#N/A</v>
      </c>
      <c r="I186" s="156" t="e">
        <f t="shared" si="20"/>
        <v>#N/A</v>
      </c>
      <c r="J186" s="156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5">
        <f t="shared" si="19"/>
        <v>0</v>
      </c>
      <c r="G187" s="155"/>
      <c r="H187" s="29" t="e">
        <f t="shared" si="16"/>
        <v>#N/A</v>
      </c>
      <c r="I187" s="156" t="e">
        <f t="shared" si="20"/>
        <v>#N/A</v>
      </c>
      <c r="J187" s="156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7" t="s">
        <v>193</v>
      </c>
      <c r="B190" s="157"/>
      <c r="C190" s="157"/>
      <c r="D190" s="157"/>
      <c r="E190" s="27">
        <f>SUM(F158:G187)</f>
        <v>178483.91</v>
      </c>
    </row>
    <row r="191" spans="1:14" ht="51.75" customHeight="1">
      <c r="A191" s="157" t="s">
        <v>192</v>
      </c>
      <c r="B191" s="157"/>
      <c r="C191" s="157"/>
      <c r="D191" s="157"/>
      <c r="E191" s="27">
        <f>E190+E154-E155</f>
        <v>-800330.80399999989</v>
      </c>
    </row>
    <row r="192" spans="1:14">
      <c r="A192" s="104" t="s">
        <v>173</v>
      </c>
    </row>
    <row r="193" spans="1:10" ht="62.25" customHeight="1">
      <c r="A193" s="182" t="s">
        <v>191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1" t="str">
        <f>ПТО!F12</f>
        <v xml:space="preserve">  -  поверка (замена) манометров и термометров</v>
      </c>
      <c r="B194" s="181"/>
      <c r="C194" s="181"/>
      <c r="D194" s="181"/>
      <c r="E194" s="181"/>
      <c r="F194" s="181"/>
      <c r="G194" s="181"/>
      <c r="H194" s="49">
        <f>ПТО!G12</f>
        <v>1200</v>
      </c>
      <c r="I194" s="50" t="s">
        <v>74</v>
      </c>
    </row>
    <row r="195" spans="1:10" ht="18.75" customHeight="1">
      <c r="A195" s="181" t="str">
        <f>ПТО!F13</f>
        <v xml:space="preserve">  -  техническое освидетельствование лифтов</v>
      </c>
      <c r="B195" s="181"/>
      <c r="C195" s="181"/>
      <c r="D195" s="181"/>
      <c r="E195" s="181"/>
      <c r="F195" s="181"/>
      <c r="G195" s="181"/>
      <c r="H195" s="49">
        <f>ПТО!G13</f>
        <v>16200</v>
      </c>
      <c r="I195" s="50" t="s">
        <v>74</v>
      </c>
    </row>
    <row r="196" spans="1:10" ht="18.75" customHeight="1">
      <c r="A196" s="181" t="str">
        <f>ПТО!F14</f>
        <v xml:space="preserve">  -  благоустройство придомовой территории</v>
      </c>
      <c r="B196" s="181"/>
      <c r="C196" s="181"/>
      <c r="D196" s="181"/>
      <c r="E196" s="181"/>
      <c r="F196" s="181"/>
      <c r="G196" s="181"/>
      <c r="H196" s="49">
        <f>ПТО!G14</f>
        <v>10000</v>
      </c>
      <c r="I196" s="50" t="s">
        <v>74</v>
      </c>
    </row>
    <row r="197" spans="1:10" ht="18.75" customHeight="1">
      <c r="A197" s="181" t="str">
        <f>ПТО!F15</f>
        <v xml:space="preserve">  -  замена тамбурных дверей</v>
      </c>
      <c r="B197" s="181"/>
      <c r="C197" s="181"/>
      <c r="D197" s="181"/>
      <c r="E197" s="181"/>
      <c r="F197" s="181"/>
      <c r="G197" s="181"/>
      <c r="H197" s="49">
        <f>ПТО!G15</f>
        <v>150000</v>
      </c>
      <c r="I197" s="50" t="s">
        <v>74</v>
      </c>
    </row>
    <row r="198" spans="1:10" ht="36.75" customHeight="1">
      <c r="A198" s="181" t="str">
        <f>ПТО!F16</f>
        <v xml:space="preserve">  -  механизированная уборка и вывоз снега с придомовой территории</v>
      </c>
      <c r="B198" s="181"/>
      <c r="C198" s="181"/>
      <c r="D198" s="181"/>
      <c r="E198" s="181"/>
      <c r="F198" s="181"/>
      <c r="G198" s="181"/>
      <c r="H198" s="49">
        <f>ПТО!G16</f>
        <v>25000</v>
      </c>
      <c r="I198" s="52" t="s">
        <v>74</v>
      </c>
    </row>
    <row r="199" spans="1:10" ht="18.75" hidden="1" customHeight="1">
      <c r="A199" s="181">
        <f>ПТО!F17</f>
        <v>0</v>
      </c>
      <c r="B199" s="181"/>
      <c r="C199" s="181"/>
      <c r="D199" s="181"/>
      <c r="E199" s="181"/>
      <c r="F199" s="181"/>
      <c r="G199" s="181"/>
      <c r="H199" s="49">
        <f>ПТО!G17</f>
        <v>0</v>
      </c>
      <c r="I199" s="50" t="s">
        <v>74</v>
      </c>
    </row>
    <row r="200" spans="1:10" hidden="1">
      <c r="A200" s="181">
        <f>ПТО!F18</f>
        <v>0</v>
      </c>
      <c r="B200" s="181"/>
      <c r="C200" s="181"/>
      <c r="D200" s="181"/>
      <c r="E200" s="181"/>
      <c r="F200" s="181"/>
      <c r="G200" s="181"/>
      <c r="H200" s="49">
        <f>ПТО!G18</f>
        <v>0</v>
      </c>
      <c r="I200" s="50" t="s">
        <v>74</v>
      </c>
    </row>
    <row r="201" spans="1:10" hidden="1">
      <c r="A201" s="181">
        <f>ПТО!F19</f>
        <v>0</v>
      </c>
      <c r="B201" s="181"/>
      <c r="C201" s="181"/>
      <c r="D201" s="181"/>
      <c r="E201" s="181"/>
      <c r="F201" s="181"/>
      <c r="G201" s="181"/>
      <c r="H201" s="49">
        <f>ПТО!G19</f>
        <v>0</v>
      </c>
      <c r="I201" s="50" t="s">
        <v>74</v>
      </c>
    </row>
    <row r="202" spans="1:10" hidden="1">
      <c r="A202" s="181">
        <f>ПТО!F20</f>
        <v>0</v>
      </c>
      <c r="B202" s="181"/>
      <c r="C202" s="181"/>
      <c r="D202" s="181"/>
      <c r="E202" s="181"/>
      <c r="F202" s="181"/>
      <c r="G202" s="181"/>
      <c r="H202" s="49">
        <f>ПТО!G20</f>
        <v>0</v>
      </c>
      <c r="I202" s="50" t="s">
        <v>74</v>
      </c>
    </row>
    <row r="203" spans="1:10" hidden="1">
      <c r="A203" s="181">
        <f>ПТО!F21</f>
        <v>0</v>
      </c>
      <c r="B203" s="181"/>
      <c r="C203" s="181"/>
      <c r="D203" s="181"/>
      <c r="E203" s="181"/>
      <c r="F203" s="181"/>
      <c r="G203" s="181"/>
      <c r="H203" s="49">
        <f>ПТО!G21</f>
        <v>0</v>
      </c>
      <c r="I203" s="50" t="s">
        <v>74</v>
      </c>
    </row>
    <row r="204" spans="1:10" hidden="1">
      <c r="A204" s="181">
        <f>ПТО!F22</f>
        <v>0</v>
      </c>
      <c r="B204" s="181"/>
      <c r="C204" s="181"/>
      <c r="D204" s="181"/>
      <c r="E204" s="181"/>
      <c r="F204" s="181"/>
      <c r="G204" s="181"/>
      <c r="H204" s="49">
        <f>ПТО!G22</f>
        <v>0</v>
      </c>
      <c r="I204" s="50" t="s">
        <v>74</v>
      </c>
    </row>
    <row r="205" spans="1:10" hidden="1">
      <c r="A205" s="181">
        <f>ПТО!F23</f>
        <v>0</v>
      </c>
      <c r="B205" s="181"/>
      <c r="C205" s="181"/>
      <c r="D205" s="181"/>
      <c r="E205" s="181"/>
      <c r="F205" s="181"/>
      <c r="G205" s="181"/>
      <c r="H205" s="49">
        <f>ПТО!G23</f>
        <v>0</v>
      </c>
      <c r="I205" s="50" t="s">
        <v>74</v>
      </c>
    </row>
    <row r="206" spans="1:10" hidden="1">
      <c r="A206" s="181">
        <f>ПТО!F24</f>
        <v>0</v>
      </c>
      <c r="B206" s="181"/>
      <c r="C206" s="181"/>
      <c r="D206" s="181"/>
      <c r="E206" s="181"/>
      <c r="F206" s="181"/>
      <c r="G206" s="181"/>
      <c r="H206" s="49">
        <f>ПТО!G24</f>
        <v>0</v>
      </c>
      <c r="I206" s="50" t="s">
        <v>74</v>
      </c>
    </row>
    <row r="207" spans="1:10" hidden="1">
      <c r="A207" s="181">
        <f>ПТО!F25</f>
        <v>0</v>
      </c>
      <c r="B207" s="181"/>
      <c r="C207" s="181"/>
      <c r="D207" s="181"/>
      <c r="E207" s="181"/>
      <c r="F207" s="181"/>
      <c r="G207" s="181"/>
      <c r="H207" s="49">
        <f>ПТО!G25</f>
        <v>0</v>
      </c>
      <c r="I207" s="50" t="s">
        <v>74</v>
      </c>
    </row>
    <row r="208" spans="1:10" hidden="1">
      <c r="A208" s="181">
        <f>ПТО!F26</f>
        <v>0</v>
      </c>
      <c r="B208" s="181"/>
      <c r="C208" s="181"/>
      <c r="D208" s="181"/>
      <c r="E208" s="181"/>
      <c r="F208" s="181"/>
      <c r="G208" s="181"/>
      <c r="H208" s="49">
        <f>ПТО!G26</f>
        <v>0</v>
      </c>
      <c r="I208" s="50" t="s">
        <v>74</v>
      </c>
    </row>
    <row r="209" spans="1:9" hidden="1">
      <c r="A209" s="181">
        <f>ПТО!F27</f>
        <v>0</v>
      </c>
      <c r="B209" s="181"/>
      <c r="C209" s="181"/>
      <c r="D209" s="181"/>
      <c r="E209" s="181"/>
      <c r="F209" s="181"/>
      <c r="G209" s="181"/>
      <c r="H209" s="49">
        <f>ПТО!G27</f>
        <v>0</v>
      </c>
      <c r="I209" s="50" t="s">
        <v>74</v>
      </c>
    </row>
    <row r="210" spans="1:9" hidden="1">
      <c r="A210" s="181">
        <f>ПТО!F28</f>
        <v>0</v>
      </c>
      <c r="B210" s="181"/>
      <c r="C210" s="181"/>
      <c r="D210" s="181"/>
      <c r="E210" s="181"/>
      <c r="F210" s="181"/>
      <c r="G210" s="181"/>
      <c r="H210" s="49">
        <f>ПТО!G28</f>
        <v>0</v>
      </c>
      <c r="I210" s="50" t="s">
        <v>74</v>
      </c>
    </row>
    <row r="211" spans="1:9" hidden="1">
      <c r="A211" s="181">
        <f>ПТО!F29</f>
        <v>0</v>
      </c>
      <c r="B211" s="181"/>
      <c r="C211" s="181"/>
      <c r="D211" s="181"/>
      <c r="E211" s="181"/>
      <c r="F211" s="181"/>
      <c r="G211" s="181"/>
      <c r="H211" s="49">
        <f>ПТО!G29</f>
        <v>0</v>
      </c>
      <c r="I211" s="50" t="s">
        <v>74</v>
      </c>
    </row>
    <row r="212" spans="1:9" hidden="1">
      <c r="A212" s="181">
        <f>ПТО!F30</f>
        <v>0</v>
      </c>
      <c r="B212" s="181"/>
      <c r="C212" s="181"/>
      <c r="D212" s="181"/>
      <c r="E212" s="181"/>
      <c r="F212" s="181"/>
      <c r="G212" s="181"/>
      <c r="H212" s="49">
        <f>ПТО!G30</f>
        <v>0</v>
      </c>
      <c r="I212" s="50" t="s">
        <v>74</v>
      </c>
    </row>
    <row r="213" spans="1:9" hidden="1">
      <c r="A213" s="181">
        <f>ПТО!F31</f>
        <v>0</v>
      </c>
      <c r="B213" s="181"/>
      <c r="C213" s="181"/>
      <c r="D213" s="181"/>
      <c r="E213" s="181"/>
      <c r="F213" s="181"/>
      <c r="G213" s="181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202400</v>
      </c>
      <c r="I214" s="56" t="s">
        <v>76</v>
      </c>
    </row>
  </sheetData>
  <sheetProtection algorithmName="SHA-512" hashValue="HQy5pnx6ozA5LjPDVQ/XEtxgz75NtVgRTJT92ccymymqNCfC0wjlwFd7v58ht0LLbdR98osziNWj8uBP83vnbA==" saltValue="kjuUseiu2J3muILcQpGnY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9" sqref="G1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195</v>
      </c>
      <c r="G1" s="101">
        <f>-653632.33</f>
        <v>-653632.32999999996</v>
      </c>
    </row>
    <row r="2" spans="1:12" ht="18.75" customHeight="1">
      <c r="A2" s="140" t="s">
        <v>176</v>
      </c>
      <c r="B2" s="129" t="s">
        <v>177</v>
      </c>
      <c r="C2" s="129">
        <v>2</v>
      </c>
      <c r="D2" s="117">
        <v>16200</v>
      </c>
      <c r="E2" s="145" t="s">
        <v>217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196</v>
      </c>
      <c r="B3" s="128" t="s">
        <v>178</v>
      </c>
      <c r="C3" s="129">
        <v>1</v>
      </c>
      <c r="D3" s="130">
        <v>2116</v>
      </c>
      <c r="E3" s="121" t="s">
        <v>197</v>
      </c>
      <c r="F3" s="30"/>
      <c r="G3" s="30"/>
      <c r="L3" s="33" t="str">
        <f t="shared" si="0"/>
        <v>ТР</v>
      </c>
    </row>
    <row r="4" spans="1:12" ht="18.75" customHeight="1">
      <c r="A4" s="127" t="s">
        <v>198</v>
      </c>
      <c r="B4" s="128" t="s">
        <v>178</v>
      </c>
      <c r="C4" s="129">
        <v>1</v>
      </c>
      <c r="D4" s="130">
        <v>1536</v>
      </c>
      <c r="E4" s="121" t="s">
        <v>199</v>
      </c>
      <c r="F4" s="30"/>
      <c r="G4" s="30"/>
      <c r="L4" s="33" t="str">
        <f t="shared" si="0"/>
        <v>ТР</v>
      </c>
    </row>
    <row r="5" spans="1:12" ht="18.75" customHeight="1">
      <c r="A5" s="153" t="s">
        <v>200</v>
      </c>
      <c r="B5" s="131" t="s">
        <v>178</v>
      </c>
      <c r="C5" s="122">
        <v>1</v>
      </c>
      <c r="D5" s="132">
        <v>21909</v>
      </c>
      <c r="E5" s="121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34" t="s">
        <v>203</v>
      </c>
      <c r="B6" s="133" t="s">
        <v>178</v>
      </c>
      <c r="C6" s="122">
        <v>1</v>
      </c>
      <c r="D6" s="132">
        <v>2838</v>
      </c>
      <c r="E6" s="121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35" t="s">
        <v>204</v>
      </c>
      <c r="B7" s="136" t="s">
        <v>178</v>
      </c>
      <c r="C7" s="123">
        <v>1</v>
      </c>
      <c r="D7" s="117">
        <v>13820</v>
      </c>
      <c r="E7" s="121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37" t="s">
        <v>206</v>
      </c>
      <c r="B8" s="120" t="s">
        <v>178</v>
      </c>
      <c r="C8" s="138">
        <v>1</v>
      </c>
      <c r="D8" s="139">
        <v>3000</v>
      </c>
      <c r="E8" s="121" t="s">
        <v>207</v>
      </c>
      <c r="F8" s="45"/>
      <c r="G8" s="45"/>
      <c r="K8" s="43"/>
      <c r="L8" s="33" t="str">
        <f t="shared" si="0"/>
        <v>ТР</v>
      </c>
    </row>
    <row r="9" spans="1:12">
      <c r="A9" s="152" t="s">
        <v>225</v>
      </c>
      <c r="B9" s="120" t="s">
        <v>178</v>
      </c>
      <c r="C9" s="120">
        <v>1</v>
      </c>
      <c r="D9" s="141">
        <v>4684.4799999999996</v>
      </c>
      <c r="E9" s="141" t="s">
        <v>208</v>
      </c>
      <c r="F9" s="44"/>
      <c r="G9" s="44"/>
      <c r="K9" s="43"/>
      <c r="L9" s="33" t="str">
        <f t="shared" si="0"/>
        <v>ТР</v>
      </c>
    </row>
    <row r="10" spans="1:12">
      <c r="A10" s="142" t="s">
        <v>213</v>
      </c>
      <c r="B10" s="120" t="s">
        <v>178</v>
      </c>
      <c r="C10" s="138">
        <v>1</v>
      </c>
      <c r="D10" s="139">
        <v>7617</v>
      </c>
      <c r="E10" s="121" t="s">
        <v>212</v>
      </c>
      <c r="F10" s="119"/>
      <c r="L10" s="33" t="str">
        <f t="shared" si="0"/>
        <v>ТР</v>
      </c>
    </row>
    <row r="11" spans="1:12" ht="94.5">
      <c r="A11" s="143" t="s">
        <v>215</v>
      </c>
      <c r="B11" s="120" t="s">
        <v>178</v>
      </c>
      <c r="C11" s="138">
        <v>1</v>
      </c>
      <c r="D11" s="139">
        <v>2471</v>
      </c>
      <c r="E11" s="121" t="s">
        <v>216</v>
      </c>
      <c r="F11" s="111" t="s">
        <v>191</v>
      </c>
      <c r="G11" s="111"/>
      <c r="L11" s="33" t="str">
        <f t="shared" si="0"/>
        <v>ТР</v>
      </c>
    </row>
    <row r="12" spans="1:12" ht="31.5">
      <c r="A12" s="153" t="s">
        <v>226</v>
      </c>
      <c r="B12" s="120" t="s">
        <v>178</v>
      </c>
      <c r="C12" s="138">
        <v>1</v>
      </c>
      <c r="D12" s="139">
        <v>9772.6299999999992</v>
      </c>
      <c r="E12" s="121" t="s">
        <v>218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46" t="s">
        <v>209</v>
      </c>
      <c r="B13" s="120" t="s">
        <v>178</v>
      </c>
      <c r="C13" s="138">
        <v>1</v>
      </c>
      <c r="D13" s="141">
        <v>8697.7999999999993</v>
      </c>
      <c r="E13" s="141" t="s">
        <v>219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47" t="s">
        <v>210</v>
      </c>
      <c r="B14" s="120" t="s">
        <v>178</v>
      </c>
      <c r="C14" s="138">
        <v>1</v>
      </c>
      <c r="D14" s="141">
        <v>67987</v>
      </c>
      <c r="E14" s="141" t="s">
        <v>220</v>
      </c>
      <c r="F14" s="112" t="s">
        <v>228</v>
      </c>
      <c r="G14" s="113">
        <v>10000</v>
      </c>
      <c r="L14" s="33" t="str">
        <f t="shared" si="0"/>
        <v>ТР</v>
      </c>
    </row>
    <row r="15" spans="1:12" ht="15.75">
      <c r="A15" s="148" t="s">
        <v>211</v>
      </c>
      <c r="B15" s="120" t="s">
        <v>178</v>
      </c>
      <c r="C15" s="138">
        <v>1</v>
      </c>
      <c r="D15" s="141">
        <v>2323</v>
      </c>
      <c r="E15" s="141" t="s">
        <v>221</v>
      </c>
      <c r="F15" s="150" t="s">
        <v>224</v>
      </c>
      <c r="G15" s="151">
        <v>150000</v>
      </c>
      <c r="L15" s="33" t="str">
        <f t="shared" si="0"/>
        <v>ТР</v>
      </c>
    </row>
    <row r="16" spans="1:12" ht="31.5">
      <c r="A16" s="149" t="s">
        <v>214</v>
      </c>
      <c r="B16" s="120" t="s">
        <v>178</v>
      </c>
      <c r="C16" s="138">
        <v>1</v>
      </c>
      <c r="D16" s="141">
        <v>5600</v>
      </c>
      <c r="E16" s="141" t="s">
        <v>222</v>
      </c>
      <c r="F16" s="112" t="s">
        <v>229</v>
      </c>
      <c r="G16" s="113">
        <v>25000</v>
      </c>
      <c r="L16" s="33" t="str">
        <f t="shared" si="0"/>
        <v>ТР</v>
      </c>
    </row>
    <row r="17" spans="1:12">
      <c r="A17" s="152" t="s">
        <v>227</v>
      </c>
      <c r="B17" s="120" t="s">
        <v>178</v>
      </c>
      <c r="C17" s="138">
        <v>1</v>
      </c>
      <c r="D17" s="141">
        <v>7912</v>
      </c>
      <c r="E17" s="141" t="s">
        <v>223</v>
      </c>
      <c r="F17" s="103"/>
      <c r="L17" s="33" t="str">
        <f t="shared" si="0"/>
        <v>ТР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224491.44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224491.44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203032.68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203032.68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94913.64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94913.64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67677.600000000006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67677.600000000006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179923.20000000001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179923.20000000001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159289.79999999999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159289.79999999999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24"/>
      <c r="C48" s="125"/>
      <c r="D48" s="48"/>
      <c r="E48" s="124">
        <v>953</v>
      </c>
      <c r="F48" s="124">
        <v>691.1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6" t="s">
        <v>184</v>
      </c>
      <c r="F53" s="126" t="s">
        <v>185</v>
      </c>
      <c r="G53" s="126" t="s">
        <v>190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6">
        <v>35.896999999999998</v>
      </c>
      <c r="F54" s="124">
        <v>7632.1</v>
      </c>
      <c r="G54" s="126">
        <v>3.48</v>
      </c>
      <c r="H54" s="126">
        <f>G54*E48/F54</f>
        <v>0.43453833152081339</v>
      </c>
    </row>
    <row r="55" spans="5:16">
      <c r="E55" s="126"/>
      <c r="F55" s="126" t="s">
        <v>186</v>
      </c>
      <c r="G55" s="126" t="s">
        <v>187</v>
      </c>
      <c r="H55" s="126">
        <f>H54*94.3</f>
        <v>40.976964662412705</v>
      </c>
    </row>
    <row r="56" spans="5:16">
      <c r="E56" s="126"/>
      <c r="F56" s="126">
        <v>1.17</v>
      </c>
      <c r="G56" s="126">
        <v>1.23</v>
      </c>
      <c r="H56" s="126"/>
    </row>
    <row r="57" spans="5:16">
      <c r="E57" s="126"/>
      <c r="F57" s="126"/>
      <c r="G57" s="126"/>
      <c r="H57" s="126"/>
    </row>
    <row r="58" spans="5:16">
      <c r="E58" s="126"/>
      <c r="F58" s="126"/>
      <c r="G58" s="126"/>
      <c r="H58" s="126"/>
    </row>
    <row r="59" spans="5:16">
      <c r="E59" s="126" t="s">
        <v>188</v>
      </c>
      <c r="F59" s="126"/>
      <c r="G59" s="126"/>
      <c r="H59" s="126"/>
    </row>
    <row r="60" spans="5:16">
      <c r="E60" s="126">
        <v>0.59599999999999997</v>
      </c>
      <c r="F60" s="124">
        <v>7632.1</v>
      </c>
      <c r="G60" s="126">
        <v>7.4999999999999997E-2</v>
      </c>
      <c r="H60" s="126">
        <f>G60*F48</f>
        <v>51.832500000000003</v>
      </c>
    </row>
    <row r="61" spans="5:16">
      <c r="E61" s="126"/>
      <c r="F61" s="126" t="s">
        <v>186</v>
      </c>
      <c r="G61" s="126" t="s">
        <v>187</v>
      </c>
      <c r="H61" s="126">
        <f>H60/F60</f>
        <v>6.7913811401842218E-3</v>
      </c>
    </row>
    <row r="62" spans="5:16">
      <c r="E62" s="126"/>
      <c r="F62" s="126">
        <v>12.94</v>
      </c>
      <c r="G62" s="126">
        <v>13.45</v>
      </c>
      <c r="H62" s="126">
        <f>H61*94.3</f>
        <v>0.64042724151937214</v>
      </c>
    </row>
    <row r="63" spans="5:16">
      <c r="E63" s="126" t="s">
        <v>189</v>
      </c>
      <c r="F63" s="126"/>
      <c r="G63" s="126"/>
      <c r="H63" s="126"/>
    </row>
    <row r="64" spans="5:16">
      <c r="E64" s="126">
        <v>0.59599999999999997</v>
      </c>
      <c r="F64" s="124">
        <v>7632.1</v>
      </c>
      <c r="G64" s="126">
        <v>7.4999999999999997E-2</v>
      </c>
      <c r="H64" s="126">
        <f>G64*F48</f>
        <v>51.832500000000003</v>
      </c>
    </row>
    <row r="65" spans="4:13" ht="18.75" customHeight="1">
      <c r="E65" s="126"/>
      <c r="F65" s="126" t="s">
        <v>186</v>
      </c>
      <c r="G65" s="126" t="s">
        <v>187</v>
      </c>
      <c r="H65" s="126">
        <f>H64/F64</f>
        <v>6.7913811401842218E-3</v>
      </c>
      <c r="I65" s="99"/>
      <c r="J65" s="99"/>
      <c r="K65" s="99"/>
      <c r="L65" s="99"/>
      <c r="M65" s="99"/>
    </row>
    <row r="66" spans="4:13" ht="18.75" customHeight="1">
      <c r="E66" s="126"/>
      <c r="F66" s="126">
        <v>15.73</v>
      </c>
      <c r="G66" s="126">
        <v>16.350000000000001</v>
      </c>
      <c r="H66" s="126">
        <f>H65*94.3</f>
        <v>0.64042724151937214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1xuaxqj+U2hSxShrzcadi+W75FWWq8pQODd35jHwRb1TFzZlIiIhu1hY8Ar0KyXGJm7CFlvngy7H41FuOlWU1g==" saltValue="pSQZd1HleljhJvfiotlOn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6877.8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18" t="s">
        <v>180</v>
      </c>
      <c r="F2" s="118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18" t="s">
        <v>181</v>
      </c>
      <c r="F3" s="118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203686.554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1601977.176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f>11.26*12*F1</f>
        <v>929328.33600000001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325182.38399999996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f>4.21*12*F1</f>
        <v>347466.45600000001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1436109.0399999996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1436109.0399999996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1436109.0399999996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369554.69000000041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104</v>
      </c>
      <c r="B27" s="75" t="s">
        <v>4</v>
      </c>
      <c r="C27" s="86">
        <v>123084.57</v>
      </c>
      <c r="D27" s="81" t="s">
        <v>60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107</v>
      </c>
      <c r="B30" s="75" t="s">
        <v>18</v>
      </c>
      <c r="C30" s="86">
        <f>C27+31387.12</f>
        <v>154471.69</v>
      </c>
      <c r="D30" s="81" t="s">
        <v>66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111916.23000000003</v>
      </c>
      <c r="F45" s="94" t="s">
        <v>166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7461.818363654309</v>
      </c>
      <c r="D46" s="94" t="s">
        <v>167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102971.46000000005</v>
      </c>
      <c r="D47" s="94" t="s">
        <v>165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8944.769999999975</v>
      </c>
      <c r="D48" s="80" t="s">
        <v>59</v>
      </c>
      <c r="E48" s="144"/>
      <c r="G48" s="67"/>
      <c r="H48" s="67"/>
      <c r="L48" s="63"/>
      <c r="M48" s="183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111916.23000000003</v>
      </c>
      <c r="D49" s="80" t="s">
        <v>59</v>
      </c>
      <c r="E49" s="144"/>
      <c r="G49" s="67"/>
      <c r="H49" s="67"/>
      <c r="L49" s="63"/>
      <c r="M49" s="183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111916.23000000003</v>
      </c>
      <c r="D50" s="80" t="s">
        <v>59</v>
      </c>
      <c r="E50" s="144"/>
      <c r="G50" s="67"/>
      <c r="H50" s="67"/>
      <c r="L50" s="63"/>
      <c r="M50" s="183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218212.10000000003</v>
      </c>
      <c r="F53" s="94" t="s">
        <v>166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13110.088008443618</v>
      </c>
      <c r="D54" s="94" t="s">
        <v>167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195769.74999999991</v>
      </c>
      <c r="D55" s="94" t="s">
        <v>165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22442.350000000122</v>
      </c>
      <c r="D56" s="80" t="s">
        <v>59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218212.10000000003</v>
      </c>
      <c r="D57" s="80" t="s">
        <v>59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218212.10000000003</v>
      </c>
      <c r="D58" s="80" t="s">
        <v>59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/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2023-03-30T08:38:33Z</dcterms:modified>
</cp:coreProperties>
</file>