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I66" i="2" l="1"/>
  <c r="H66" i="2"/>
  <c r="F66" i="2"/>
  <c r="I63" i="2"/>
  <c r="H63" i="2"/>
  <c r="F63" i="2"/>
  <c r="I59" i="2"/>
  <c r="H59" i="2"/>
  <c r="F59" i="2"/>
  <c r="I53" i="2"/>
  <c r="I54" i="2" s="1"/>
  <c r="I55" i="2" s="1"/>
  <c r="H53" i="2"/>
  <c r="H54" i="2" s="1"/>
  <c r="B47" i="2"/>
  <c r="I64" i="2" l="1"/>
  <c r="I65" i="2" s="1"/>
  <c r="H60" i="2"/>
  <c r="H61" i="2" s="1"/>
  <c r="H67" i="2"/>
  <c r="H68" i="2" s="1"/>
  <c r="I60" i="2"/>
  <c r="I61" i="2" s="1"/>
  <c r="I67" i="2"/>
  <c r="I68" i="2" s="1"/>
  <c r="H64" i="2"/>
  <c r="H65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1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1" i="1"/>
  <c r="A97" i="1"/>
  <c r="G94" i="1"/>
  <c r="F94" i="1"/>
  <c r="K94" i="1"/>
  <c r="A112" i="1" l="1"/>
  <c r="A113" i="1"/>
  <c r="F110" i="1"/>
  <c r="A117" i="1"/>
  <c r="A105" i="1"/>
  <c r="A119" i="1"/>
  <c r="A120" i="1"/>
  <c r="A118" i="1"/>
  <c r="A141" i="1"/>
  <c r="F134" i="1"/>
  <c r="A94" i="1"/>
  <c r="A95" i="1"/>
  <c r="A99" i="1"/>
  <c r="D118" i="1"/>
  <c r="A123" i="1"/>
  <c r="A98" i="1"/>
  <c r="D94" i="1"/>
  <c r="A96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79" i="1"/>
  <c r="H171" i="1"/>
  <c r="F186" i="1"/>
  <c r="F167" i="1"/>
  <c r="F168" i="1"/>
  <c r="F177" i="1"/>
  <c r="H165" i="1"/>
  <c r="H170" i="1"/>
  <c r="F179" i="1"/>
  <c r="F171" i="1"/>
  <c r="H173" i="1"/>
  <c r="H167" i="1"/>
  <c r="F170" i="1"/>
  <c r="F165" i="1"/>
  <c r="H186" i="1"/>
  <c r="F178" i="1"/>
  <c r="F172" i="1"/>
  <c r="H172" i="1"/>
  <c r="H178" i="1"/>
  <c r="H168" i="1"/>
  <c r="F173" i="1"/>
  <c r="F176" i="1"/>
  <c r="H176" i="1"/>
  <c r="H187" i="1"/>
  <c r="F175" i="1"/>
  <c r="H184" i="1"/>
  <c r="F184" i="1"/>
  <c r="H164" i="1"/>
  <c r="F187" i="1"/>
  <c r="F181" i="1"/>
  <c r="F180" i="1"/>
  <c r="H166" i="1"/>
  <c r="F169" i="1"/>
  <c r="H185" i="1"/>
  <c r="H181" i="1"/>
  <c r="F166" i="1"/>
  <c r="F185" i="1"/>
  <c r="F164" i="1"/>
  <c r="F182" i="1"/>
  <c r="H169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<sst xmlns="http://schemas.openxmlformats.org/spreadsheetml/2006/main" count="562" uniqueCount="209">
  <si>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</si>
  <si>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</si>
  <si>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</si>
  <si>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</si>
  <si>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</si>
  <si>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</si>
  <si>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</si>
  <si>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</si>
  <si>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</si>
  <si>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</si>
  <si>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</si>
  <si>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</si>
  <si>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</si>
  <si>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</si>
  <si>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</si>
  <si>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</si>
  <si>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</si>
  <si>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</si>
  <si>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</si>
  <si>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</si>
  <si>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</si>
  <si>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</si>
  <si>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</si>
  <si>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</si>
  <si>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</si>
  <si>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</si>
  <si>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</si>
  <si>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</si>
  <si>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</si>
  <si>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</si>
  <si>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</si>
  <si>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</si>
  <si>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</si>
  <si>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</si>
  <si>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</si>
  <si>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</si>
  <si>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</si>
  <si>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</si>
  <si>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</si>
  <si>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</si>
  <si>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</si>
  <si>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</si>
  <si>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</si>
  <si>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</si>
  <si>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</si>
  <si>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</si>
  <si>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</si>
  <si>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</si>
  <si>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</si>
  <si>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</si>
  <si>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</si>
  <si>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</si>
  <si>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</si>
  <si>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</si>
  <si>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</si>
  <si>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</si>
  <si>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</si>
  <si>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</si>
  <si>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</si>
  <si>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</si>
  <si>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</si>
  <si>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</si>
  <si>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</si>
  <si>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</si>
  <si>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</si>
  <si>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</si>
  <si>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</si>
  <si>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</si>
  <si>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</si>
  <si>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</si>
  <si>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</si>
  <si>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</si>
  <si>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</si>
  <si>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</si>
  <si>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</si>
  <si>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</si>
  <si>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</si>
  <si>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</si>
  <si>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</si>
  <si>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</si>
  <si>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</si>
  <si>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</si>
  <si>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</si>
  <si>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</si>
  <si>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</si>
  <si>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</si>
  <si>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</si>
  <si>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</si>
  <si>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</si>
  <si>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</si>
  <si>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</si>
  <si>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</si>
  <si>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</si>
  <si>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</si>
  <si>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</si>
  <si>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</si>
  <si>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</si>
  <si>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</si>
  <si>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</si>
  <si>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</si>
  <si>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</si>
  <si>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</si>
  <si>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</si>
  <si>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</si>
  <si>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</si>
  <si>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</si>
  <si>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</si>
  <si>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</si>
  <si>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</si>
  <si>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</si>
  <si>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</si>
  <si>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</si>
  <si>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</si>
  <si>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</si>
  <si>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</si>
  <si>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</si>
  <si>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</si>
  <si>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</si>
  <si>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</si>
  <si>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</si>
  <si>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</si>
  <si>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</si>
  <si>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</si>
  <si>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</si>
  <si>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</si>
  <si>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</si>
  <si>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</si>
  <si>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</si>
  <si>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</si>
  <si>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</si>
  <si>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</si>
  <si>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</si>
  <si>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</si>
  <si>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</si>
  <si>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</si>
  <si>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</si>
  <si>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</si>
  <si>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</si>
  <si>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</si>
  <si>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</si>
  <si>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</si>
  <si>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</si>
  <si>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</si>
  <si>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</si>
  <si>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</si>
  <si>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</si>
  <si>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</si>
  <si>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</si>
  <si>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</si>
  <si>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</si>
  <si>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</si>
  <si>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</si>
  <si>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</si>
  <si>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</si>
  <si>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</si>
  <si>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</si>
  <si>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</si>
  <si>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</si>
  <si>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</si>
  <si>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</si>
  <si>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</si>
  <si>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</si>
  <si>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</si>
  <si>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</si>
  <si>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</si>
  <si>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</si>
  <si>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</si>
  <si>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</si>
  <si>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</si>
  <si>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</si>
  <si>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</si>
  <si>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</si>
  <si>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</si>
  <si>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</si>
  <si>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</si>
  <si>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</si>
  <si>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</si>
  <si>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</si>
  <si>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</si>
  <si>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</si>
  <si>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</si>
  <si>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</si>
  <si>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</si>
  <si>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</si>
  <si>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</si>
  <si>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 xml:space="preserve">  -  ремонт подъезда</t>
  </si>
  <si>
    <t>Отчет об исполнении договора управления многоквартирного дома 
Александра Невского, 99/2 в части текущего ремонта</t>
  </si>
  <si>
    <t>Приобретение и монтаж клапана балансировочного и шарового крана на линию рециркуляции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</si>
  <si>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</si>
  <si>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</si>
  <si>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</si>
  <si>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</si>
  <si>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</si>
  <si>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прибора учета тепловой энергии.</t>
  </si>
  <si>
    <t>Ремонт погодоведомого оборудования.</t>
  </si>
  <si>
    <t>Ревизия и наладка механической части клапана автоматики в ИТП.</t>
  </si>
  <si>
    <t>АВР 2/21 от 14.01.2021, счет №7 от 13.01.2021</t>
  </si>
  <si>
    <t>АВР 3/21 от 14.01.2021, счет №7 от 13.01.2021</t>
  </si>
  <si>
    <t>АВР 5/21 от 20.04.2021, счет №115 от 07.04.2021</t>
  </si>
  <si>
    <t>АВР 4/21 от 20.04.2021, счет №115 от 07.04.2021</t>
  </si>
  <si>
    <t>Проливка и настройка прибора учета тепловой энергии после ремонта.</t>
  </si>
  <si>
    <t>АВР 6/21 от 01.02.2021</t>
  </si>
  <si>
    <t>АВР 7/21 от 10.02.2021</t>
  </si>
  <si>
    <t>АВР 8/21 от 11.06.2021, счет №289 от 30.10.2020</t>
  </si>
  <si>
    <t>АВР 9/21 от 11.06.2021, счет №350 от 11.06.2021</t>
  </si>
  <si>
    <t>Замена шарового крана и балансировочного клапана на подаче ГВС.</t>
  </si>
  <si>
    <t>Ремонт погодоведомого оборудования (ремонт наружного датчика температуры воздуха).</t>
  </si>
  <si>
    <t>АВР 10/21 от 02.07.2021</t>
  </si>
  <si>
    <t>Коммунальные ресурсы на содержание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</si>
</sst>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" fillId="0" borderId="0"/>
  </cellStyleXfs>
  <cellXfs count="17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0" fillId="0" borderId="0" xfId="0" applyFill="1" applyBorder="1" applyAlignment="1"/>
    <xf numFmtId="0" fontId="6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8" applyFont="1" applyFill="1" applyBorder="1" applyAlignment="1"/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4" fontId="8" fillId="0" borderId="0" xfId="5" applyNumberFormat="1" applyFill="1" applyBorder="1" applyAlignment="1"/>
    <xf numFmtId="0" fontId="0" fillId="0" borderId="0" xfId="0" applyFill="1" applyBorder="1"/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9" fillId="0" borderId="0" xfId="4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4" fillId="3" borderId="0" xfId="12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5" fillId="0" borderId="0" xfId="4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3" xfId="11"/>
    <cellStyle name="Обычный 2 4" xfId="6"/>
    <cellStyle name="Обычный 2 5" xfId="12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  <cellStyle name="Обычный 6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7" t="s">
        <v>178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8"/>
      <c r="L8" s="168"/>
      <c r="M8" s="108"/>
      <c r="N8" s="108"/>
      <c r="O8" s="69" t="s">
        <v>84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8"/>
      <c r="L9" s="168"/>
      <c r="M9" s="108"/>
      <c r="N9" s="108"/>
      <c r="O9" s="69" t="s">
        <v>85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50269.73</v>
      </c>
      <c r="K10" s="108"/>
      <c r="L10" s="168"/>
      <c r="M10" s="108"/>
      <c r="N10" s="108"/>
      <c r="O10" s="69" t="s">
        <v>86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776202.9580000001</v>
      </c>
      <c r="K11" s="108"/>
      <c r="L11" s="168"/>
      <c r="M11" s="108"/>
      <c r="N11" s="108"/>
      <c r="O11" s="69" t="s">
        <v>87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588607.03</v>
      </c>
      <c r="K12" s="108"/>
      <c r="L12" s="168"/>
      <c r="M12" s="108"/>
      <c r="N12" s="108"/>
      <c r="O12" s="69" t="s">
        <v>88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187595.92800000001</v>
      </c>
      <c r="K13" s="108"/>
      <c r="L13" s="168"/>
      <c r="M13" s="108"/>
      <c r="N13" s="108"/>
      <c r="O13" s="69" t="s">
        <v>89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08"/>
      <c r="L14" s="168"/>
      <c r="M14" s="108"/>
      <c r="N14" s="108"/>
      <c r="O14" s="69" t="s">
        <v>90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734735.79</v>
      </c>
      <c r="K15" s="108"/>
      <c r="L15" s="168"/>
      <c r="M15" s="108"/>
      <c r="N15" s="108"/>
      <c r="O15" s="69" t="s">
        <v>91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734735.79</v>
      </c>
      <c r="K16" s="108"/>
      <c r="L16" s="168"/>
      <c r="M16" s="108"/>
      <c r="N16" s="108"/>
      <c r="O16" s="69" t="s">
        <v>92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8"/>
      <c r="L17" s="168"/>
      <c r="M17" s="108"/>
      <c r="N17" s="108"/>
      <c r="O17" s="69" t="s">
        <v>93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8"/>
      <c r="L18" s="168"/>
      <c r="M18" s="108"/>
      <c r="N18" s="108"/>
      <c r="O18" s="69" t="s">
        <v>94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8"/>
      <c r="L19" s="168"/>
      <c r="M19" s="108"/>
      <c r="N19" s="108"/>
      <c r="O19" s="69" t="s">
        <v>95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8"/>
      <c r="L20" s="168"/>
      <c r="M20" s="108"/>
      <c r="N20" s="108"/>
      <c r="O20" s="69" t="s">
        <v>96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734735.79</v>
      </c>
      <c r="K21" s="108"/>
      <c r="L21" s="168"/>
      <c r="M21" s="108"/>
      <c r="N21" s="108"/>
      <c r="O21" s="69" t="s">
        <v>97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8"/>
      <c r="L22" s="168"/>
      <c r="M22" s="108"/>
      <c r="N22" s="108"/>
      <c r="O22" s="69" t="s">
        <v>98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8"/>
      <c r="L23" s="168"/>
      <c r="M23" s="108"/>
      <c r="N23" s="108"/>
      <c r="O23" s="69" t="s">
        <v>99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91736.898000000045</v>
      </c>
      <c r="K24" s="108"/>
      <c r="L24" s="168"/>
      <c r="M24" s="108"/>
      <c r="N24" s="108"/>
      <c r="O24" s="69" t="s">
        <v>100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8"/>
      <c r="L27" s="169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235880.16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08"/>
      <c r="L28" s="169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46">
        <f>VLOOKUP(A29,ПТО!$A$39:$D$53,2,FALSE)</f>
        <v>67677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08"/>
      <c r="L29" s="169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45513.84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08"/>
      <c r="L30" s="169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47492.639999999999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08"/>
      <c r="L31" s="169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08"/>
      <c r="L32" s="169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13456.2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08"/>
      <c r="L33" s="169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46701.120000000003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08"/>
      <c r="L34" s="169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5"/>
      <c r="C35" s="145"/>
      <c r="D35" s="145"/>
      <c r="E35" s="145"/>
      <c r="F35" s="146">
        <f>VLOOKUP(A35,ПТО!$A$39:$D$53,2,FALSE)</f>
        <v>157913.04</v>
      </c>
      <c r="G35" s="146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08"/>
      <c r="L35" s="169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45" t="str">
        <f>ПТО!A47</f>
        <v>Коммунальные ресурсы на содержание общего имущества</v>
      </c>
      <c r="B36" s="145"/>
      <c r="C36" s="145"/>
      <c r="D36" s="145"/>
      <c r="E36" s="145"/>
      <c r="F36" s="146">
        <f>VLOOKUP(A36,ПТО!$A$39:$D$53,2,FALSE)</f>
        <v>41988.491639999993</v>
      </c>
      <c r="G36" s="146"/>
      <c r="H36" s="42" t="str">
        <f>VLOOKUP(A36,ПТО!$A$39:$D$53,3,FALSE)</f>
        <v>Ежемесячно</v>
      </c>
      <c r="I36" s="147">
        <f>VLOOKUP(A36,ПТО!$A$39:$D$53,4,FALSE)</f>
        <v>12</v>
      </c>
      <c r="J36" s="147"/>
      <c r="K36" s="108"/>
      <c r="L36" s="169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08"/>
      <c r="L37" s="169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08"/>
      <c r="L38" s="169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08"/>
      <c r="L39" s="169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08"/>
      <c r="L40" s="169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08"/>
      <c r="L41" s="169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08"/>
      <c r="L42" s="169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освидетельствование лифта.</v>
      </c>
      <c r="B43" s="145"/>
      <c r="C43" s="145"/>
      <c r="D43" s="145"/>
      <c r="E43" s="145"/>
      <c r="F43" s="146">
        <f>VLOOKUP(A43,ПТО!$A$2:$D$31,4,FALSE)</f>
        <v>8100</v>
      </c>
      <c r="G43" s="146"/>
      <c r="H43" s="19" t="str">
        <f>VLOOKUP(A43,ПТО!$A$2:$D$31,2,FALSE)</f>
        <v>ежегодно</v>
      </c>
      <c r="I43" s="147">
        <f>VLOOKUP(A43,ПТО!$A$2:$D$31,3,FALSE)</f>
        <v>1</v>
      </c>
      <c r="J43" s="147"/>
      <c r="K43" s="108"/>
      <c r="L43" s="169"/>
      <c r="M43" s="115"/>
      <c r="N43" s="108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5" t="str">
        <f>ПТО!A3</f>
        <v>Техническое обслуживание системы видеонаблюдения.</v>
      </c>
      <c r="B44" s="145"/>
      <c r="C44" s="145"/>
      <c r="D44" s="145"/>
      <c r="E44" s="145"/>
      <c r="F44" s="146">
        <f>VLOOKUP(A44,ПТО!$A$2:$D$31,4,FALSE)</f>
        <v>5240</v>
      </c>
      <c r="G44" s="146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08"/>
      <c r="L44" s="169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5" t="str">
        <f>ПТО!A4</f>
        <v>Ремонт погодоведомого оборудования (ремонт наружного датчика температуры воздуха).</v>
      </c>
      <c r="B45" s="145"/>
      <c r="C45" s="145"/>
      <c r="D45" s="145"/>
      <c r="E45" s="145"/>
      <c r="F45" s="146">
        <f>VLOOKUP(A45,ПТО!$A$2:$D$31,4,FALSE)</f>
        <v>7965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08"/>
      <c r="L45" s="169"/>
      <c r="M45" s="115"/>
      <c r="N45" s="108"/>
      <c r="O45" s="23" t="str">
        <f t="shared" si="1"/>
        <v>Ремонт погодоведомого оборудования (ремонт наружного датчика температуры воздуха).</v>
      </c>
      <c r="R45" s="22" t="s">
        <v>72</v>
      </c>
    </row>
    <row r="46" spans="1:18" ht="51" customHeight="1" outlineLevel="1">
      <c r="A46" s="145" t="str">
        <f>ПТО!A5</f>
        <v>Ревизия и наладка механической части клапана автоматики в ИТП.</v>
      </c>
      <c r="B46" s="145"/>
      <c r="C46" s="145"/>
      <c r="D46" s="145"/>
      <c r="E46" s="145"/>
      <c r="F46" s="146">
        <f>VLOOKUP(A46,ПТО!$A$2:$D$31,4,FALSE)</f>
        <v>4200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08"/>
      <c r="L46" s="169"/>
      <c r="M46" s="115"/>
      <c r="N46" s="108"/>
      <c r="O46" s="23" t="str">
        <f t="shared" si="1"/>
        <v>Ревизия и наладка механической части клапана автоматики в ИТП.</v>
      </c>
      <c r="R46" s="22" t="s">
        <v>72</v>
      </c>
    </row>
    <row r="47" spans="1:18" ht="51" customHeight="1" outlineLevel="1">
      <c r="A47" s="145" t="str">
        <f>ПТО!A6</f>
        <v>Ремонт прибора учета тепловой энергии.</v>
      </c>
      <c r="B47" s="145"/>
      <c r="C47" s="145"/>
      <c r="D47" s="145"/>
      <c r="E47" s="145"/>
      <c r="F47" s="146">
        <f>VLOOKUP(A47,ПТО!$A$2:$D$31,4,FALSE)</f>
        <v>8850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08"/>
      <c r="L47" s="169"/>
      <c r="M47" s="115"/>
      <c r="N47" s="108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45" t="str">
        <f>ПТО!A7</f>
        <v>Проливка и настройка прибора учета тепловой энергии после ремонта.</v>
      </c>
      <c r="B48" s="145"/>
      <c r="C48" s="145"/>
      <c r="D48" s="145"/>
      <c r="E48" s="145"/>
      <c r="F48" s="146">
        <f>VLOOKUP(A48,ПТО!$A$2:$D$31,4,FALSE)</f>
        <v>4680</v>
      </c>
      <c r="G48" s="146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08"/>
      <c r="L48" s="169"/>
      <c r="M48" s="115"/>
      <c r="N48" s="108"/>
      <c r="O48" s="23" t="str">
        <f t="shared" si="1"/>
        <v>Проливка и настройка прибора учета тепловой энергии после ремонта.</v>
      </c>
      <c r="R48" s="22" t="s">
        <v>72</v>
      </c>
    </row>
    <row r="49" spans="1:18" ht="51" customHeight="1" outlineLevel="1">
      <c r="A49" s="145" t="str">
        <f>ПТО!A8</f>
        <v>Приобретение и монтаж клапана балансировочного и шарового крана на линию рециркуляции ГВС.</v>
      </c>
      <c r="B49" s="145"/>
      <c r="C49" s="145"/>
      <c r="D49" s="145"/>
      <c r="E49" s="145"/>
      <c r="F49" s="146">
        <f>VLOOKUP(A49,ПТО!$A$2:$D$31,4,FALSE)</f>
        <v>2290</v>
      </c>
      <c r="G49" s="146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08"/>
      <c r="L49" s="169"/>
      <c r="M49" s="115"/>
      <c r="N49" s="108"/>
      <c r="O49" s="23" t="str">
        <f t="shared" si="1"/>
        <v>Приобретение и монтаж клапана балансировочного и шарового крана на линию рециркуляции ГВС.</v>
      </c>
      <c r="R49" s="22" t="s">
        <v>72</v>
      </c>
    </row>
    <row r="50" spans="1:18" ht="51" customHeight="1" outlineLevel="1">
      <c r="A50" s="145" t="str">
        <f>ПТО!A9</f>
        <v>Замена шарового крана и балансировочного клапана на подаче ГВС.</v>
      </c>
      <c r="B50" s="145"/>
      <c r="C50" s="145"/>
      <c r="D50" s="145"/>
      <c r="E50" s="145"/>
      <c r="F50" s="146">
        <f>VLOOKUP(A50,ПТО!$A$2:$D$31,4,FALSE)</f>
        <v>6000</v>
      </c>
      <c r="G50" s="146"/>
      <c r="H50" s="25" t="str">
        <f>VLOOKUP(A50,ПТО!$A$2:$D$31,2,FALSE)</f>
        <v>разово</v>
      </c>
      <c r="I50" s="147">
        <f>VLOOKUP(A50,ПТО!$A$2:$D$31,3,FALSE)</f>
        <v>1</v>
      </c>
      <c r="J50" s="147"/>
      <c r="K50" s="108"/>
      <c r="L50" s="169"/>
      <c r="M50" s="115"/>
      <c r="N50" s="108"/>
      <c r="O50" s="23" t="str">
        <f t="shared" si="1"/>
        <v>Замена шарового крана и балансировочного клапана на подаче ГВС.</v>
      </c>
      <c r="R50" s="22" t="s">
        <v>72</v>
      </c>
    </row>
    <row r="51" spans="1:18" ht="51" customHeight="1" outlineLevel="1">
      <c r="A51" s="145" t="str">
        <f>ПТО!A10</f>
        <v>Ремонт погодоведомого оборудования.</v>
      </c>
      <c r="B51" s="145"/>
      <c r="C51" s="145"/>
      <c r="D51" s="145"/>
      <c r="E51" s="145"/>
      <c r="F51" s="146">
        <f>VLOOKUP(A51,ПТО!$A$2:$D$31,4,FALSE)</f>
        <v>4372</v>
      </c>
      <c r="G51" s="146"/>
      <c r="H51" s="25" t="str">
        <f>VLOOKUP(A51,ПТО!$A$2:$D$31,2,FALSE)</f>
        <v>разово</v>
      </c>
      <c r="I51" s="147">
        <f>VLOOKUP(A51,ПТО!$A$2:$D$31,3,FALSE)</f>
        <v>1</v>
      </c>
      <c r="J51" s="147"/>
      <c r="K51" s="108"/>
      <c r="L51" s="169"/>
      <c r="M51" s="115"/>
      <c r="N51" s="108"/>
      <c r="O51" s="23" t="str">
        <f t="shared" si="1"/>
        <v>Ремонт погодоведомого оборудования.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08"/>
      <c r="L52" s="169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08"/>
      <c r="L53" s="169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08"/>
      <c r="L54" s="169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08"/>
      <c r="L55" s="169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08"/>
      <c r="L56" s="169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08"/>
      <c r="L57" s="169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08"/>
      <c r="L58" s="169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08"/>
      <c r="L59" s="169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08"/>
      <c r="L60" s="169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08"/>
      <c r="L61" s="169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08"/>
      <c r="L62" s="169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08"/>
      <c r="L63" s="169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08"/>
      <c r="L64" s="169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08"/>
      <c r="L65" s="169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08"/>
      <c r="L66" s="169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08"/>
      <c r="L67" s="169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08"/>
      <c r="L68" s="169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08"/>
      <c r="L69" s="169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08"/>
      <c r="L70" s="169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5"/>
      <c r="L71" s="16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08"/>
      <c r="L72" s="169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176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8"/>
      <c r="L75" s="152"/>
      <c r="M75" s="108"/>
      <c r="N75" s="108"/>
      <c r="O75" s="69" t="s">
        <v>101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8"/>
      <c r="L76" s="152"/>
      <c r="M76" s="108"/>
      <c r="N76" s="108"/>
      <c r="O76" s="69" t="s">
        <v>102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8"/>
      <c r="L77" s="152"/>
      <c r="M77" s="108"/>
      <c r="N77" s="108"/>
      <c r="O77" s="69" t="s">
        <v>103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6">
        <f>VLOOKUP(O78,АО,3,FALSE)</f>
        <v>0</v>
      </c>
      <c r="K78" s="108"/>
      <c r="L78" s="152"/>
      <c r="M78" s="108"/>
      <c r="N78" s="108"/>
      <c r="O78" s="69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6">
        <f t="shared" ref="J81:J90" si="2">VLOOKUP(O81,АО,3,FALSE)</f>
        <v>0</v>
      </c>
      <c r="K81" s="108"/>
      <c r="L81" s="170"/>
      <c r="M81" s="108"/>
      <c r="N81" s="108"/>
      <c r="O81" s="69" t="s">
        <v>105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6">
        <f t="shared" si="2"/>
        <v>0</v>
      </c>
      <c r="K82" s="108"/>
      <c r="L82" s="170"/>
      <c r="M82" s="108"/>
      <c r="N82" s="108"/>
      <c r="O82" s="69" t="s">
        <v>106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6">
        <f t="shared" si="2"/>
        <v>22566.35</v>
      </c>
      <c r="K83" s="108"/>
      <c r="L83" s="170"/>
      <c r="M83" s="108"/>
      <c r="N83" s="108"/>
      <c r="O83" s="69" t="s">
        <v>107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6">
        <f t="shared" si="2"/>
        <v>8771.07</v>
      </c>
      <c r="K84" s="108"/>
      <c r="L84" s="170"/>
      <c r="M84" s="108"/>
      <c r="N84" s="108"/>
      <c r="O84" s="69" t="s">
        <v>108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6">
        <f t="shared" si="2"/>
        <v>0</v>
      </c>
      <c r="K85" s="108"/>
      <c r="L85" s="170"/>
      <c r="M85" s="108"/>
      <c r="N85" s="108"/>
      <c r="O85" s="69" t="s">
        <v>109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6">
        <f t="shared" si="2"/>
        <v>0</v>
      </c>
      <c r="K86" s="108"/>
      <c r="L86" s="170"/>
      <c r="M86" s="108"/>
      <c r="N86" s="108"/>
      <c r="O86" s="69" t="s">
        <v>110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08"/>
      <c r="L87" s="170"/>
      <c r="M87" s="108"/>
      <c r="N87" s="108"/>
      <c r="O87" s="69" t="s">
        <v>111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08"/>
      <c r="L88" s="170"/>
      <c r="M88" s="108"/>
      <c r="N88" s="108"/>
      <c r="O88" s="69" t="s">
        <v>112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08"/>
      <c r="L89" s="170"/>
      <c r="M89" s="108"/>
      <c r="N89" s="108"/>
      <c r="O89" s="69" t="s">
        <v>113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6">
        <f t="shared" si="2"/>
        <v>0</v>
      </c>
      <c r="K90" s="108"/>
      <c r="L90" s="170"/>
      <c r="M90" s="108"/>
      <c r="N90" s="108"/>
      <c r="O90" s="69" t="s">
        <v>114</v>
      </c>
    </row>
    <row r="91" spans="1:15">
      <c r="A91" s="103" t="s">
        <v>176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54" t="s">
        <v>48</v>
      </c>
      <c r="B93" s="154"/>
      <c r="C93" s="154"/>
      <c r="D93" s="157" t="s">
        <v>49</v>
      </c>
      <c r="E93" s="157"/>
      <c r="F93" s="10" t="s">
        <v>50</v>
      </c>
      <c r="G93" s="154" t="s">
        <v>51</v>
      </c>
      <c r="H93" s="154"/>
      <c r="I93" s="154"/>
      <c r="J93" s="154"/>
      <c r="K93" s="108"/>
      <c r="L93" s="108"/>
      <c r="M93" s="108"/>
      <c r="N93" s="108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181624.95999999999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151354.13</v>
      </c>
      <c r="L95" s="171"/>
      <c r="O95" s="1" t="s">
        <v>115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191088.17</v>
      </c>
      <c r="L96" s="171"/>
      <c r="O96" s="1" t="s">
        <v>116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71"/>
      <c r="O97" s="1" t="s">
        <v>117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181624.95999999999</v>
      </c>
      <c r="L98" s="171"/>
      <c r="O98" s="1" t="s">
        <v>118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181624.95999999999</v>
      </c>
      <c r="L99" s="171"/>
      <c r="O99" s="1" t="s">
        <v>119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120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121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63749.39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4829.5</v>
      </c>
      <c r="L103" s="171"/>
      <c r="O103" s="1" t="s">
        <v>124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68540.02</v>
      </c>
      <c r="L104" s="171"/>
      <c r="O104" s="1" t="s">
        <v>125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71"/>
      <c r="O105" s="1" t="s">
        <v>126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63749.39</v>
      </c>
      <c r="L106" s="171"/>
      <c r="O106" s="1" t="s">
        <v>127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63749.39</v>
      </c>
      <c r="L107" s="171"/>
      <c r="O107" s="1" t="s">
        <v>128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129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130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129900.55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8098.54</v>
      </c>
      <c r="L111" s="171"/>
      <c r="O111" s="1" t="s">
        <v>132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139235.72</v>
      </c>
      <c r="L112" s="171"/>
      <c r="O112" s="1" t="s">
        <v>133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71"/>
      <c r="O113" s="1" t="s">
        <v>134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129900.55</v>
      </c>
      <c r="L114" s="171"/>
      <c r="O114" s="1" t="s">
        <v>135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129900.55</v>
      </c>
      <c r="L115" s="171"/>
      <c r="O115" s="1" t="s">
        <v>136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137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138</v>
      </c>
    </row>
    <row r="118" spans="1:15" ht="32.25" customHeight="1" outlineLevel="1">
      <c r="A118" s="158" t="str">
        <f>IF(VLOOKUP("тко",АО,3,FALSE)&gt;0,"Обращение с ТКО",0)</f>
        <v>Обращение с ТКО</v>
      </c>
      <c r="B118" s="158"/>
      <c r="C118" s="158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5">
        <f>VLOOKUP("тко",АО,5,FALSE)</f>
        <v>120673.29</v>
      </c>
      <c r="H118" s="156"/>
      <c r="I118" s="156"/>
      <c r="J118" s="156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224.36</v>
      </c>
      <c r="L119" s="47"/>
      <c r="O119" s="1" t="s">
        <v>140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130103.97</v>
      </c>
      <c r="L120" s="47"/>
      <c r="O120" s="1" t="s">
        <v>141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7"/>
      <c r="O121" s="1" t="s">
        <v>142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120673.29</v>
      </c>
      <c r="L122" s="47"/>
      <c r="O122" s="1" t="s">
        <v>143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120673.29</v>
      </c>
      <c r="L123" s="47"/>
      <c r="O123" s="1" t="s">
        <v>144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5">
        <f>VLOOKUP("гвс",АО,5,FALSE)</f>
        <v>12114.37</v>
      </c>
      <c r="H126" s="156"/>
      <c r="I126" s="156"/>
      <c r="J126" s="156"/>
      <c r="L126" s="47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917.76</v>
      </c>
      <c r="L127" s="47"/>
      <c r="O127" s="1" t="s">
        <v>148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10432.1</v>
      </c>
      <c r="L128" s="47"/>
      <c r="O128" s="1" t="s">
        <v>149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1682.2700000000004</v>
      </c>
      <c r="L129" s="47"/>
      <c r="O129" s="1" t="s">
        <v>150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12114.37</v>
      </c>
      <c r="L130" s="47"/>
      <c r="O130" s="1" t="s">
        <v>151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12114.37</v>
      </c>
      <c r="L131" s="47"/>
      <c r="O131" s="1" t="s">
        <v>152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172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3</v>
      </c>
      <c r="L145" s="15"/>
      <c r="O145" t="s">
        <v>173</v>
      </c>
    </row>
    <row r="146" spans="1:15" ht="30" customHeight="1" outlineLevel="1">
      <c r="A146" s="153" t="s">
        <v>175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62913.01</v>
      </c>
      <c r="O146" t="s">
        <v>174</v>
      </c>
    </row>
    <row r="149" spans="1:15" ht="52.5" customHeight="1">
      <c r="A149" s="149" t="s">
        <v>186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8" t="s">
        <v>188</v>
      </c>
      <c r="B154" s="148"/>
      <c r="C154" s="148"/>
      <c r="D154" s="148"/>
      <c r="E154" s="27">
        <f>ПТО!G1</f>
        <v>-315064.67</v>
      </c>
    </row>
    <row r="155" spans="1:15" ht="34.5" customHeight="1">
      <c r="A155" s="150" t="s">
        <v>192</v>
      </c>
      <c r="B155" s="150"/>
      <c r="C155" s="150"/>
      <c r="D155" s="150"/>
      <c r="E155" s="28">
        <f>J13</f>
        <v>187595.92800000001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5" t="str">
        <f t="shared" ref="A158:A163" si="14">IF(N158&gt;0,N158,0)</f>
        <v>Техническое освидетельствование лифта.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8100</v>
      </c>
      <c r="G158" s="146"/>
      <c r="H158" s="24" t="str">
        <f t="shared" ref="H158:H187" si="16">VLOOKUP(A158,$A$28:$J$72,8,FALSE)</f>
        <v>ежегодно</v>
      </c>
      <c r="I158" s="147">
        <f t="shared" ref="I158:I161" si="17">VLOOKUP(A158,$A$28:$J$72,9,FALSE)</f>
        <v>1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5" t="str">
        <f t="shared" si="14"/>
        <v>Техническое обслуживание системы видеонаблюдения.</v>
      </c>
      <c r="B159" s="145"/>
      <c r="C159" s="145"/>
      <c r="D159" s="145"/>
      <c r="E159" s="145"/>
      <c r="F159" s="146">
        <f t="shared" si="15"/>
        <v>5240</v>
      </c>
      <c r="G159" s="146"/>
      <c r="H159" s="24" t="str">
        <f t="shared" si="16"/>
        <v>ежемесячно</v>
      </c>
      <c r="I159" s="147">
        <f t="shared" si="17"/>
        <v>12</v>
      </c>
      <c r="J159" s="147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5" t="str">
        <f t="shared" si="14"/>
        <v>Ремонт погодоведомого оборудования (ремонт наружного датчика температуры воздуха).</v>
      </c>
      <c r="B160" s="145"/>
      <c r="C160" s="145"/>
      <c r="D160" s="145"/>
      <c r="E160" s="145"/>
      <c r="F160" s="146">
        <f t="shared" si="15"/>
        <v>7965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Ремонт погодоведомого оборудования (ремонт наружного датчика температуры воздуха).</v>
      </c>
    </row>
    <row r="161" spans="1:14" ht="28.5" customHeight="1">
      <c r="A161" s="145" t="str">
        <f>IF(N161&gt;0,N161,0)</f>
        <v>Ревизия и наладка механической части клапана автоматики в ИТП.</v>
      </c>
      <c r="B161" s="145"/>
      <c r="C161" s="145"/>
      <c r="D161" s="145"/>
      <c r="E161" s="145"/>
      <c r="F161" s="146">
        <f t="shared" si="15"/>
        <v>4200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Ревизия и наладка механической части клапана автоматики в ИТП.</v>
      </c>
    </row>
    <row r="162" spans="1:14" ht="28.5" customHeight="1">
      <c r="A162" s="145" t="str">
        <f t="shared" si="14"/>
        <v>Ремонт прибора учета тепловой энергии.</v>
      </c>
      <c r="B162" s="145"/>
      <c r="C162" s="145"/>
      <c r="D162" s="145"/>
      <c r="E162" s="145"/>
      <c r="F162" s="146">
        <f t="shared" si="15"/>
        <v>8850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45" t="str">
        <f t="shared" si="14"/>
        <v>Проливка и настройка прибора учета тепловой энергии после ремонта.</v>
      </c>
      <c r="B163" s="145"/>
      <c r="C163" s="145"/>
      <c r="D163" s="145"/>
      <c r="E163" s="145"/>
      <c r="F163" s="146">
        <f t="shared" si="15"/>
        <v>4680</v>
      </c>
      <c r="G163" s="146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Проливка и настройка прибора учета тепловой энергии после ремонта.</v>
      </c>
    </row>
    <row r="164" spans="1:14" ht="28.5" customHeight="1">
      <c r="A164" s="145" t="str">
        <f t="shared" ref="A164:A187" si="18">IF(N164&gt;0,N164,0)</f>
        <v>Приобретение и монтаж клапана балансировочного и шарового крана на линию рециркуляции ГВС.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2290</v>
      </c>
      <c r="G164" s="146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72</v>
      </c>
      <c r="N164" s="1" t="str">
        <v>Приобретение и монтаж клапана балансировочного и шарового крана на линию рециркуляции ГВС.</v>
      </c>
    </row>
    <row r="165" spans="1:14" ht="28.5" customHeight="1">
      <c r="A165" s="145" t="str">
        <f t="shared" si="18"/>
        <v>Замена шарового крана и балансировочного клапана на подаче ГВС.</v>
      </c>
      <c r="B165" s="145"/>
      <c r="C165" s="145"/>
      <c r="D165" s="145"/>
      <c r="E165" s="145"/>
      <c r="F165" s="146">
        <f t="shared" si="19"/>
        <v>6000</v>
      </c>
      <c r="G165" s="146"/>
      <c r="H165" s="29" t="str">
        <f t="shared" si="16"/>
        <v>разово</v>
      </c>
      <c r="I165" s="147">
        <f t="shared" si="20"/>
        <v>1</v>
      </c>
      <c r="J165" s="147"/>
      <c r="M165" s="22" t="s">
        <v>72</v>
      </c>
      <c r="N165" s="1" t="str">
        <v>Замена шарового крана и балансировочного клапана на подаче ГВС.</v>
      </c>
    </row>
    <row r="166" spans="1:14" ht="28.5" customHeight="1">
      <c r="A166" s="145" t="str">
        <f t="shared" si="18"/>
        <v>Ремонт погодоведомого оборудования.</v>
      </c>
      <c r="B166" s="145"/>
      <c r="C166" s="145"/>
      <c r="D166" s="145"/>
      <c r="E166" s="145"/>
      <c r="F166" s="146">
        <f t="shared" si="19"/>
        <v>4372</v>
      </c>
      <c r="G166" s="146"/>
      <c r="H166" s="29" t="str">
        <f t="shared" si="16"/>
        <v>разово</v>
      </c>
      <c r="I166" s="147">
        <f t="shared" si="20"/>
        <v>1</v>
      </c>
      <c r="J166" s="147"/>
      <c r="M166" s="22" t="s">
        <v>72</v>
      </c>
      <c r="N166" s="1" t="str">
        <v>Ремонт погодоведомого оборудования.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3" t="s">
        <v>176</v>
      </c>
    </row>
    <row r="189" spans="1:14" ht="29.25" customHeight="1">
      <c r="A189" s="103" t="s">
        <v>176</v>
      </c>
    </row>
    <row r="190" spans="1:14" ht="36.75" customHeight="1">
      <c r="A190" s="148" t="s">
        <v>191</v>
      </c>
      <c r="B190" s="148"/>
      <c r="C190" s="148"/>
      <c r="D190" s="148"/>
      <c r="E190" s="27">
        <f>SUM(F158:G187)</f>
        <v>51697</v>
      </c>
    </row>
    <row r="191" spans="1:14" ht="51.75" customHeight="1">
      <c r="A191" s="148" t="s">
        <v>190</v>
      </c>
      <c r="B191" s="148"/>
      <c r="C191" s="148"/>
      <c r="D191" s="148"/>
      <c r="E191" s="27">
        <f>E190+E154-E155</f>
        <v>-450963.598</v>
      </c>
    </row>
    <row r="192" spans="1:14">
      <c r="A192" s="103" t="s">
        <v>176</v>
      </c>
    </row>
    <row r="193" spans="1:10" ht="62.25" customHeight="1">
      <c r="A193" s="173" t="s">
        <v>189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48">
        <f>ПТО!G12</f>
        <v>1200</v>
      </c>
      <c r="I194" s="49" t="s">
        <v>75</v>
      </c>
    </row>
    <row r="195" spans="1:10" ht="18.75" customHeight="1">
      <c r="A195" s="172" t="str">
        <f>ПТО!F13</f>
        <v xml:space="preserve">  -  техническое освидетельствование лифта</v>
      </c>
      <c r="B195" s="172"/>
      <c r="C195" s="172"/>
      <c r="D195" s="172"/>
      <c r="E195" s="172"/>
      <c r="F195" s="172"/>
      <c r="G195" s="172"/>
      <c r="H195" s="48">
        <f>ПТО!G13</f>
        <v>8100</v>
      </c>
      <c r="I195" s="49" t="s">
        <v>75</v>
      </c>
    </row>
    <row r="196" spans="1:10" ht="18.75" customHeight="1">
      <c r="A196" s="172" t="str">
        <f>ПТО!F14</f>
        <v xml:space="preserve">  -  техническое обслуживание системы видеонаблюдения</v>
      </c>
      <c r="B196" s="172"/>
      <c r="C196" s="172"/>
      <c r="D196" s="172"/>
      <c r="E196" s="172"/>
      <c r="F196" s="172"/>
      <c r="G196" s="172"/>
      <c r="H196" s="48">
        <f>ПТО!G14</f>
        <v>5240</v>
      </c>
      <c r="I196" s="49" t="s">
        <v>75</v>
      </c>
    </row>
    <row r="197" spans="1:10" ht="18.75" customHeight="1">
      <c r="A197" s="172" t="str">
        <f>ПТО!F15</f>
        <v xml:space="preserve">  -  ремонт подъезда</v>
      </c>
      <c r="B197" s="172"/>
      <c r="C197" s="172"/>
      <c r="D197" s="172"/>
      <c r="E197" s="172"/>
      <c r="F197" s="172"/>
      <c r="G197" s="172"/>
      <c r="H197" s="48">
        <f>ПТО!G15</f>
        <v>300000</v>
      </c>
      <c r="I197" s="49" t="s">
        <v>75</v>
      </c>
    </row>
    <row r="198" spans="1:10" ht="18.75" hidden="1" customHeight="1">
      <c r="A198" s="172">
        <f>ПТО!F16</f>
        <v>0</v>
      </c>
      <c r="B198" s="172"/>
      <c r="C198" s="172"/>
      <c r="D198" s="172"/>
      <c r="E198" s="172"/>
      <c r="F198" s="172"/>
      <c r="G198" s="172"/>
      <c r="H198" s="48">
        <f>ПТО!G16</f>
        <v>0</v>
      </c>
      <c r="I198" s="51" t="s">
        <v>75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48">
        <f>ПТО!G17</f>
        <v>0</v>
      </c>
      <c r="I199" s="49" t="s">
        <v>75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48">
        <f>ПТО!G18</f>
        <v>0</v>
      </c>
      <c r="I200" s="49" t="s">
        <v>75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48">
        <f>ПТО!G19</f>
        <v>0</v>
      </c>
      <c r="I201" s="49" t="s">
        <v>75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48">
        <f>ПТО!G20</f>
        <v>0</v>
      </c>
      <c r="I202" s="49" t="s">
        <v>75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48">
        <f>ПТО!G21</f>
        <v>0</v>
      </c>
      <c r="I203" s="49" t="s">
        <v>75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48">
        <f>ПТО!G22</f>
        <v>0</v>
      </c>
      <c r="I204" s="49" t="s">
        <v>75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48">
        <f>ПТО!G23</f>
        <v>0</v>
      </c>
      <c r="I205" s="49" t="s">
        <v>75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48">
        <f>ПТО!G24</f>
        <v>0</v>
      </c>
      <c r="I206" s="49" t="s">
        <v>75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48">
        <f>ПТО!G25</f>
        <v>0</v>
      </c>
      <c r="I207" s="49" t="s">
        <v>75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48">
        <f>ПТО!G26</f>
        <v>0</v>
      </c>
      <c r="I208" s="49" t="s">
        <v>75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48">
        <f>ПТО!G27</f>
        <v>0</v>
      </c>
      <c r="I209" s="49" t="s">
        <v>75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48">
        <f>ПТО!G28</f>
        <v>0</v>
      </c>
      <c r="I210" s="49" t="s">
        <v>75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48">
        <f>ПТО!G29</f>
        <v>0</v>
      </c>
      <c r="I211" s="49" t="s">
        <v>75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48">
        <f>ПТО!G30</f>
        <v>0</v>
      </c>
      <c r="I212" s="49" t="s">
        <v>75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48">
        <f>ПТО!G31</f>
        <v>0</v>
      </c>
      <c r="I213" s="49" t="s">
        <v>75</v>
      </c>
    </row>
    <row r="214" spans="1:9">
      <c r="A214" s="52" t="s">
        <v>78</v>
      </c>
      <c r="B214" s="53"/>
      <c r="C214" s="53"/>
      <c r="D214" s="53"/>
      <c r="E214" s="53"/>
      <c r="F214" s="53"/>
      <c r="G214" s="53"/>
      <c r="H214" s="54">
        <f>SUM(H194:H213)</f>
        <v>314540</v>
      </c>
      <c r="I214" s="55" t="s">
        <v>79</v>
      </c>
    </row>
  </sheetData>
  <sheetProtection algorithmName="SHA-512" hashValue="9f2afqJiRXFM8Js8ERPtYLfJHrOhXfnaXTcsovIeyBg+rIqIqW6L84URVkEQNZ+kibexcc1WBcyRuQX32LrlwA==" saltValue="pHYjuW8a2DOHoBBxsE8H+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188</v>
      </c>
      <c r="G1" s="100">
        <f>-315064.67</f>
        <v>-315064.67</v>
      </c>
    </row>
    <row r="2" spans="1:12" ht="18.75" customHeight="1">
      <c r="A2" s="125" t="s">
        <v>73</v>
      </c>
      <c r="B2" s="126" t="s">
        <v>181</v>
      </c>
      <c r="C2" s="126">
        <v>1</v>
      </c>
      <c r="D2" s="127">
        <v>8100</v>
      </c>
      <c r="E2" s="128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180</v>
      </c>
      <c r="B3" s="130" t="s">
        <v>182</v>
      </c>
      <c r="C3" s="131">
        <v>12</v>
      </c>
      <c r="D3" s="132">
        <v>5240</v>
      </c>
      <c r="E3" s="128" t="s">
        <v>202</v>
      </c>
      <c r="F3" s="30"/>
      <c r="G3" s="30"/>
      <c r="L3" s="33" t="str">
        <f t="shared" si="0"/>
        <v>ТР</v>
      </c>
    </row>
    <row r="4" spans="1:12" ht="18.75" customHeight="1">
      <c r="A4" s="117" t="s">
        <v>206</v>
      </c>
      <c r="B4" s="118" t="s">
        <v>183</v>
      </c>
      <c r="C4" s="119">
        <v>1</v>
      </c>
      <c r="D4" s="46">
        <v>7965</v>
      </c>
      <c r="E4" s="120" t="s">
        <v>196</v>
      </c>
      <c r="F4" s="30"/>
      <c r="G4" s="30"/>
      <c r="L4" s="33" t="str">
        <f t="shared" si="0"/>
        <v>ТР</v>
      </c>
    </row>
    <row r="5" spans="1:12" ht="18.75" customHeight="1">
      <c r="A5" s="117" t="s">
        <v>195</v>
      </c>
      <c r="B5" s="121" t="s">
        <v>183</v>
      </c>
      <c r="C5" s="122">
        <v>1</v>
      </c>
      <c r="D5" s="123">
        <v>4200</v>
      </c>
      <c r="E5" s="120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193</v>
      </c>
      <c r="B6" s="118" t="s">
        <v>183</v>
      </c>
      <c r="C6" s="119">
        <v>1</v>
      </c>
      <c r="D6" s="46">
        <v>8850</v>
      </c>
      <c r="E6" s="120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17" t="s">
        <v>200</v>
      </c>
      <c r="B7" s="121" t="s">
        <v>183</v>
      </c>
      <c r="C7" s="122">
        <v>1</v>
      </c>
      <c r="D7" s="123">
        <v>4680</v>
      </c>
      <c r="E7" s="120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3" t="s">
        <v>187</v>
      </c>
      <c r="B8" s="134" t="s">
        <v>183</v>
      </c>
      <c r="C8" s="135">
        <v>1</v>
      </c>
      <c r="D8" s="46">
        <v>2290</v>
      </c>
      <c r="E8" s="128" t="s">
        <v>203</v>
      </c>
      <c r="F8" s="45"/>
      <c r="G8" s="45"/>
      <c r="K8" s="43"/>
      <c r="L8" s="33" t="str">
        <f t="shared" si="0"/>
        <v>ТР</v>
      </c>
    </row>
    <row r="9" spans="1:12">
      <c r="A9" s="44" t="s">
        <v>205</v>
      </c>
      <c r="B9" s="136" t="s">
        <v>183</v>
      </c>
      <c r="C9" s="135">
        <v>1</v>
      </c>
      <c r="D9" s="43">
        <v>6000</v>
      </c>
      <c r="E9" s="44" t="s">
        <v>204</v>
      </c>
      <c r="F9" s="44"/>
      <c r="G9" s="44"/>
      <c r="K9" s="43"/>
      <c r="L9" s="33" t="str">
        <f t="shared" si="0"/>
        <v>ТР</v>
      </c>
    </row>
    <row r="10" spans="1:12">
      <c r="A10" s="137" t="s">
        <v>194</v>
      </c>
      <c r="B10" s="138" t="s">
        <v>183</v>
      </c>
      <c r="C10" s="119">
        <v>1</v>
      </c>
      <c r="D10" s="46">
        <v>4372</v>
      </c>
      <c r="E10" s="120" t="s">
        <v>207</v>
      </c>
      <c r="F10" s="128"/>
      <c r="L10" s="33" t="str">
        <f t="shared" si="0"/>
        <v>ТР</v>
      </c>
    </row>
    <row r="11" spans="1:12" ht="94.5">
      <c r="A11" s="144"/>
      <c r="B11" s="138"/>
      <c r="C11" s="119"/>
      <c r="D11" s="46"/>
      <c r="E11" s="120"/>
      <c r="F11" s="110" t="s">
        <v>189</v>
      </c>
      <c r="G11" s="110"/>
      <c r="L11" s="33">
        <f t="shared" si="0"/>
        <v>0</v>
      </c>
    </row>
    <row r="12" spans="1:12" ht="31.5">
      <c r="A12" s="30"/>
      <c r="F12" s="111" t="s">
        <v>74</v>
      </c>
      <c r="G12" s="112">
        <v>1200</v>
      </c>
      <c r="L12" s="33">
        <f t="shared" si="0"/>
        <v>0</v>
      </c>
    </row>
    <row r="13" spans="1:12" ht="31.5">
      <c r="A13" s="30"/>
      <c r="F13" s="111" t="s">
        <v>76</v>
      </c>
      <c r="G13" s="112">
        <v>8100</v>
      </c>
      <c r="L13" s="33">
        <f t="shared" si="0"/>
        <v>0</v>
      </c>
    </row>
    <row r="14" spans="1:12" ht="31.5">
      <c r="A14" s="30"/>
      <c r="F14" s="111" t="s">
        <v>77</v>
      </c>
      <c r="G14" s="113">
        <v>5240</v>
      </c>
      <c r="L14" s="33">
        <f t="shared" si="0"/>
        <v>0</v>
      </c>
    </row>
    <row r="15" spans="1:12" ht="15.75">
      <c r="A15" s="30"/>
      <c r="F15" s="111" t="s">
        <v>185</v>
      </c>
      <c r="G15" s="112">
        <v>300000</v>
      </c>
      <c r="L15" s="33">
        <f t="shared" si="0"/>
        <v>0</v>
      </c>
    </row>
    <row r="16" spans="1:12" ht="15.75">
      <c r="A16" s="30"/>
      <c r="F16" s="111"/>
      <c r="G16" s="112"/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235880.16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235880.16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67677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45513.84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45513.84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47492.639999999999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47492.639999999999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13456.2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13456.2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46701.120000000003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46701.120000000003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157913.04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157913.04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208</v>
      </c>
      <c r="B47" s="139">
        <f>(E47*3.48*1.23*6+E47*3.48*1.17*6)+(F47*0.03*13.45*6+F47*0.03*12.94*6)+(F47*0.06*16.35*6+F47*0.06*15.73*6)+(F47*0.03*107.48*6+F47*0.03*104.91*6)</f>
        <v>41988.491639999993</v>
      </c>
      <c r="C47" s="140" t="s">
        <v>68</v>
      </c>
      <c r="D47" s="141">
        <v>12</v>
      </c>
      <c r="E47" s="139">
        <v>426.9</v>
      </c>
      <c r="F47" s="139">
        <v>377.7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41988.491639999993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42">
        <v>3399.3</v>
      </c>
      <c r="G53" s="143">
        <v>3.48</v>
      </c>
      <c r="H53" s="31">
        <f>G53*E47/F53</f>
        <v>0.43703468361133169</v>
      </c>
      <c r="I53" s="142">
        <f>G53*E47</f>
        <v>1485.6119999999999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113.1</v>
      </c>
      <c r="H54" s="31">
        <f>H53*35.2</f>
        <v>15.383620863118876</v>
      </c>
      <c r="I54" s="31">
        <f>I53/F53</f>
        <v>0.43703468361133169</v>
      </c>
    </row>
    <row r="55" spans="5:16">
      <c r="I55" s="31">
        <f>I54*F54</f>
        <v>49.428622716441609</v>
      </c>
    </row>
    <row r="59" spans="5:16">
      <c r="E59" s="31">
        <v>0.19600000000000001</v>
      </c>
      <c r="F59" s="142">
        <f>F53</f>
        <v>3399.3</v>
      </c>
      <c r="G59" s="143">
        <v>3.2000000000000001E-2</v>
      </c>
      <c r="H59" s="31">
        <f>G59*F47</f>
        <v>12.086399999999999</v>
      </c>
      <c r="I59" s="31">
        <f>G59*F47</f>
        <v>12.086399999999999</v>
      </c>
    </row>
    <row r="60" spans="5:16">
      <c r="H60" s="31">
        <f>H59/F59</f>
        <v>3.5555555555555553E-3</v>
      </c>
      <c r="I60" s="31">
        <f>I59/F59</f>
        <v>3.5555555555555553E-3</v>
      </c>
    </row>
    <row r="61" spans="5:16">
      <c r="H61" s="31">
        <f>H60*35.2</f>
        <v>0.12515555555555555</v>
      </c>
      <c r="I61" s="31">
        <f>I60*F54</f>
        <v>0.40213333333333329</v>
      </c>
    </row>
    <row r="63" spans="5:16">
      <c r="E63" s="31">
        <v>0.19600000000000001</v>
      </c>
      <c r="F63" s="142">
        <f>F53</f>
        <v>3399.3</v>
      </c>
      <c r="G63" s="143">
        <v>3.2000000000000001E-2</v>
      </c>
      <c r="H63" s="31">
        <f>G63*F47</f>
        <v>12.086399999999999</v>
      </c>
      <c r="I63" s="31">
        <f>G59*F47</f>
        <v>12.086399999999999</v>
      </c>
    </row>
    <row r="64" spans="5:16">
      <c r="H64" s="31">
        <f>H63/F63</f>
        <v>3.5555555555555553E-3</v>
      </c>
      <c r="I64" s="31">
        <f>I63/F63</f>
        <v>3.5555555555555553E-3</v>
      </c>
    </row>
    <row r="65" spans="4:13" ht="18.75" customHeight="1">
      <c r="D65" s="98"/>
      <c r="H65" s="31">
        <f>H64*35.2</f>
        <v>0.12515555555555555</v>
      </c>
      <c r="I65" s="31">
        <f>I64*F54</f>
        <v>0.40213333333333329</v>
      </c>
      <c r="J65" s="98"/>
      <c r="K65" s="98"/>
      <c r="L65" s="98"/>
      <c r="M65" s="98"/>
    </row>
    <row r="66" spans="4:13" ht="18.75" customHeight="1">
      <c r="D66" s="101"/>
      <c r="E66" s="31">
        <v>0.39100000000000001</v>
      </c>
      <c r="F66" s="142">
        <f>F53</f>
        <v>3399.3</v>
      </c>
      <c r="G66" s="143">
        <v>6.4000000000000001E-2</v>
      </c>
      <c r="H66" s="31">
        <f>G66*F47</f>
        <v>24.172799999999999</v>
      </c>
      <c r="I66" s="31">
        <f>G66*F47</f>
        <v>24.172799999999999</v>
      </c>
      <c r="J66" s="101"/>
      <c r="M66" s="1"/>
    </row>
    <row r="67" spans="4:13" ht="18.75" customHeight="1">
      <c r="D67" s="101"/>
      <c r="H67" s="31">
        <f>H66/F66</f>
        <v>7.1111111111111106E-3</v>
      </c>
      <c r="I67" s="31">
        <f>I66/F66</f>
        <v>7.1111111111111106E-3</v>
      </c>
      <c r="J67" s="101"/>
      <c r="M67" s="1"/>
    </row>
    <row r="68" spans="4:13" ht="18.75" customHeight="1">
      <c r="D68" s="101"/>
      <c r="H68" s="31">
        <f>H67*35.2</f>
        <v>0.2503111111111111</v>
      </c>
      <c r="I68" s="31">
        <f>I67*F54</f>
        <v>0.80426666666666657</v>
      </c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184</v>
      </c>
      <c r="F1" s="59">
        <v>3298.1</v>
      </c>
    </row>
    <row r="2" spans="1:10" ht="15.75" customHeight="1">
      <c r="A2" s="69" t="s">
        <v>84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85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86</v>
      </c>
      <c r="B4" s="71" t="s">
        <v>4</v>
      </c>
      <c r="C4" s="82">
        <v>50269.73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87</v>
      </c>
      <c r="B5" s="71" t="s">
        <v>5</v>
      </c>
      <c r="C5" s="78">
        <f>SUM(C6:C8)</f>
        <v>776202.9580000001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88</v>
      </c>
      <c r="B6" s="71" t="s">
        <v>6</v>
      </c>
      <c r="C6" s="82">
        <v>588607.03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89</v>
      </c>
      <c r="B7" s="71" t="s">
        <v>7</v>
      </c>
      <c r="C7" s="82">
        <f>F1*4.74*12</f>
        <v>187595.92800000001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90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91</v>
      </c>
      <c r="B9" s="71" t="s">
        <v>9</v>
      </c>
      <c r="C9" s="78">
        <f>SUM(C10:C14)</f>
        <v>734735.79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92</v>
      </c>
      <c r="B10" s="71" t="s">
        <v>10</v>
      </c>
      <c r="C10" s="82">
        <v>734735.79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93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94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95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96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97</v>
      </c>
      <c r="B15" s="71" t="s">
        <v>15</v>
      </c>
      <c r="C15" s="78">
        <f>C9</f>
        <v>734735.79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98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99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100</v>
      </c>
      <c r="B18" s="71" t="s">
        <v>18</v>
      </c>
      <c r="C18" s="78">
        <f>IF(C16&gt;0,0,IF(C4&gt;0,C4+C5-C9,C5-C2-C9))</f>
        <v>91736.898000000045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163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101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76"/>
      <c r="N20" s="61"/>
    </row>
    <row r="21" spans="1:15" ht="15.75" customHeight="1">
      <c r="A21" s="69" t="s">
        <v>102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76"/>
      <c r="N21" s="61"/>
    </row>
    <row r="22" spans="1:15" ht="15.75" customHeight="1">
      <c r="A22" s="69" t="s">
        <v>103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76"/>
      <c r="N22" s="61"/>
    </row>
    <row r="23" spans="1:15" ht="15.75" customHeight="1">
      <c r="A23" s="69" t="s">
        <v>104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76"/>
      <c r="N23" s="61"/>
    </row>
    <row r="24" spans="1:15" ht="18.75">
      <c r="A24" s="72" t="s">
        <v>164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105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75"/>
      <c r="N25" s="62"/>
    </row>
    <row r="26" spans="1:15" ht="18.75" customHeight="1">
      <c r="A26" s="69" t="s">
        <v>106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75"/>
      <c r="N26" s="62"/>
    </row>
    <row r="27" spans="1:15" ht="18.75" customHeight="1">
      <c r="A27" s="69" t="s">
        <v>107</v>
      </c>
      <c r="B27" s="74" t="s">
        <v>4</v>
      </c>
      <c r="C27" s="85">
        <v>22566.35</v>
      </c>
      <c r="D27" s="80" t="s">
        <v>60</v>
      </c>
      <c r="E27" s="63"/>
      <c r="F27" s="63"/>
      <c r="G27" s="63"/>
      <c r="H27" s="63"/>
      <c r="I27" s="63"/>
      <c r="J27" s="63"/>
      <c r="M27" s="175"/>
      <c r="N27" s="62"/>
    </row>
    <row r="28" spans="1:15" ht="18.75" customHeight="1">
      <c r="A28" s="69" t="s">
        <v>108</v>
      </c>
      <c r="B28" s="74" t="s">
        <v>16</v>
      </c>
      <c r="C28" s="85">
        <v>8771.07</v>
      </c>
      <c r="D28" s="80" t="s">
        <v>65</v>
      </c>
      <c r="E28" s="63"/>
      <c r="F28" s="63"/>
      <c r="G28" s="63"/>
      <c r="H28" s="63"/>
      <c r="I28" s="63"/>
      <c r="J28" s="63"/>
      <c r="M28" s="175"/>
      <c r="N28" s="62"/>
    </row>
    <row r="29" spans="1:15" ht="18.75" customHeight="1">
      <c r="A29" s="69" t="s">
        <v>109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75"/>
      <c r="N29" s="62"/>
    </row>
    <row r="30" spans="1:15" ht="18.75" customHeight="1">
      <c r="A30" s="69" t="s">
        <v>110</v>
      </c>
      <c r="B30" s="74" t="s">
        <v>18</v>
      </c>
      <c r="C30" s="85">
        <v>0</v>
      </c>
      <c r="D30" s="80" t="s">
        <v>66</v>
      </c>
      <c r="E30" s="63"/>
      <c r="F30" s="63"/>
      <c r="G30" s="63"/>
      <c r="H30" s="63"/>
      <c r="I30" s="63"/>
      <c r="J30" s="63"/>
      <c r="M30" s="175"/>
      <c r="N30" s="62"/>
    </row>
    <row r="31" spans="1:15" ht="18.75" customHeight="1">
      <c r="A31" s="69" t="s">
        <v>111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75"/>
      <c r="N31" s="62"/>
    </row>
    <row r="32" spans="1:15" ht="18.75" customHeight="1">
      <c r="A32" s="69" t="s">
        <v>112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75"/>
      <c r="N32" s="62"/>
    </row>
    <row r="33" spans="1:15" ht="18.75" customHeight="1">
      <c r="A33" s="69" t="s">
        <v>113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75"/>
      <c r="N33" s="62"/>
    </row>
    <row r="34" spans="1:15" ht="18.75" customHeight="1">
      <c r="A34" s="69" t="s">
        <v>114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75"/>
      <c r="N34" s="62"/>
    </row>
    <row r="35" spans="1:15" ht="18.75">
      <c r="A35" s="72" t="s">
        <v>165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166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122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181624.95999999999</v>
      </c>
      <c r="F37" s="93" t="s">
        <v>169</v>
      </c>
      <c r="G37" s="65"/>
      <c r="H37" s="65"/>
      <c r="I37" s="65"/>
      <c r="L37" s="62"/>
      <c r="M37" s="174"/>
      <c r="N37" s="62"/>
      <c r="O37" s="62"/>
    </row>
    <row r="38" spans="1:15" ht="18.75" customHeight="1">
      <c r="A38" s="69" t="s">
        <v>115</v>
      </c>
      <c r="B38" s="77" t="s">
        <v>37</v>
      </c>
      <c r="C38" s="89">
        <v>151354.13</v>
      </c>
      <c r="D38" s="93" t="s">
        <v>167</v>
      </c>
      <c r="E38" s="67"/>
      <c r="G38" s="66"/>
      <c r="H38" s="66"/>
      <c r="L38" s="62"/>
      <c r="M38" s="174"/>
      <c r="N38" s="62"/>
      <c r="O38" s="62"/>
    </row>
    <row r="39" spans="1:15" ht="18.75" customHeight="1">
      <c r="A39" s="69" t="s">
        <v>116</v>
      </c>
      <c r="B39" s="77" t="s">
        <v>38</v>
      </c>
      <c r="C39" s="90">
        <v>191088.17</v>
      </c>
      <c r="D39" s="93" t="s">
        <v>168</v>
      </c>
      <c r="E39" s="67"/>
      <c r="G39" s="66"/>
      <c r="H39" s="66"/>
      <c r="L39" s="62"/>
      <c r="M39" s="174"/>
      <c r="N39" s="62"/>
      <c r="O39" s="62"/>
    </row>
    <row r="40" spans="1:15" ht="18.75" customHeight="1">
      <c r="A40" s="69" t="s">
        <v>117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74"/>
      <c r="N40" s="62"/>
      <c r="O40" s="62"/>
    </row>
    <row r="41" spans="1:15" ht="18.75" customHeight="1">
      <c r="A41" s="69" t="s">
        <v>118</v>
      </c>
      <c r="B41" s="77" t="s">
        <v>40</v>
      </c>
      <c r="C41" s="92">
        <f>E37</f>
        <v>181624.95999999999</v>
      </c>
      <c r="D41" s="79" t="s">
        <v>59</v>
      </c>
      <c r="E41" s="67"/>
      <c r="G41" s="66"/>
      <c r="H41" s="66"/>
      <c r="L41" s="62"/>
      <c r="M41" s="174"/>
      <c r="N41" s="62"/>
      <c r="O41" s="62"/>
    </row>
    <row r="42" spans="1:15" ht="18.75" customHeight="1">
      <c r="A42" s="69" t="s">
        <v>119</v>
      </c>
      <c r="B42" s="77" t="s">
        <v>41</v>
      </c>
      <c r="C42" s="92">
        <f>E37</f>
        <v>181624.95999999999</v>
      </c>
      <c r="D42" s="79" t="s">
        <v>59</v>
      </c>
      <c r="E42" s="67"/>
      <c r="G42" s="66"/>
      <c r="H42" s="66"/>
      <c r="L42" s="62"/>
      <c r="M42" s="174"/>
      <c r="N42" s="62"/>
      <c r="O42" s="62"/>
    </row>
    <row r="43" spans="1:15" ht="18.75" customHeight="1">
      <c r="A43" s="69" t="s">
        <v>120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74"/>
      <c r="N43" s="62"/>
      <c r="O43" s="62"/>
    </row>
    <row r="44" spans="1:15" ht="30" customHeight="1">
      <c r="A44" s="69" t="s">
        <v>121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74"/>
      <c r="N44" s="62"/>
      <c r="O44" s="62"/>
    </row>
    <row r="45" spans="1:15" ht="18.75">
      <c r="A45" s="72" t="s">
        <v>123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63749.39</v>
      </c>
      <c r="F45" s="93" t="s">
        <v>169</v>
      </c>
      <c r="G45" s="65"/>
      <c r="H45" s="65"/>
      <c r="L45" s="62"/>
      <c r="M45" s="174"/>
      <c r="N45" s="62"/>
      <c r="O45" s="62"/>
    </row>
    <row r="46" spans="1:15" ht="18.75" customHeight="1">
      <c r="A46" s="72" t="s">
        <v>124</v>
      </c>
      <c r="B46" s="77" t="s">
        <v>37</v>
      </c>
      <c r="C46" s="89">
        <v>4829.5</v>
      </c>
      <c r="D46" s="93" t="s">
        <v>170</v>
      </c>
      <c r="E46" s="67"/>
      <c r="G46" s="66"/>
      <c r="H46" s="66"/>
      <c r="L46" s="62"/>
      <c r="M46" s="174"/>
      <c r="N46" s="62"/>
      <c r="O46" s="62"/>
    </row>
    <row r="47" spans="1:15" ht="18.75" customHeight="1">
      <c r="A47" s="72" t="s">
        <v>125</v>
      </c>
      <c r="B47" s="77" t="s">
        <v>38</v>
      </c>
      <c r="C47" s="90">
        <v>68540.02</v>
      </c>
      <c r="D47" s="93" t="s">
        <v>168</v>
      </c>
      <c r="E47" s="67"/>
      <c r="G47" s="66"/>
      <c r="H47" s="66"/>
      <c r="L47" s="62"/>
      <c r="M47" s="174"/>
      <c r="N47" s="62"/>
      <c r="O47" s="62"/>
    </row>
    <row r="48" spans="1:15" ht="18.75" customHeight="1">
      <c r="A48" s="72" t="s">
        <v>126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74"/>
      <c r="N48" s="62"/>
      <c r="O48" s="62"/>
    </row>
    <row r="49" spans="1:15" ht="18.75" customHeight="1">
      <c r="A49" s="72" t="s">
        <v>127</v>
      </c>
      <c r="B49" s="77" t="s">
        <v>40</v>
      </c>
      <c r="C49" s="92">
        <f>E45</f>
        <v>63749.39</v>
      </c>
      <c r="D49" s="79" t="s">
        <v>59</v>
      </c>
      <c r="E49" s="67"/>
      <c r="G49" s="66"/>
      <c r="H49" s="66"/>
      <c r="L49" s="62"/>
      <c r="M49" s="174"/>
      <c r="N49" s="62"/>
      <c r="O49" s="62"/>
    </row>
    <row r="50" spans="1:15" ht="18.75" customHeight="1">
      <c r="A50" s="72" t="s">
        <v>128</v>
      </c>
      <c r="B50" s="77" t="s">
        <v>41</v>
      </c>
      <c r="C50" s="92">
        <f>E45</f>
        <v>63749.39</v>
      </c>
      <c r="D50" s="79" t="s">
        <v>59</v>
      </c>
      <c r="E50" s="67"/>
      <c r="G50" s="66"/>
      <c r="H50" s="66"/>
      <c r="L50" s="62"/>
      <c r="M50" s="174"/>
      <c r="N50" s="62"/>
      <c r="O50" s="62"/>
    </row>
    <row r="51" spans="1:15" ht="18.75" customHeight="1">
      <c r="A51" s="72" t="s">
        <v>129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74"/>
      <c r="N51" s="62"/>
      <c r="O51" s="62"/>
    </row>
    <row r="52" spans="1:15" ht="29.25" customHeight="1">
      <c r="A52" s="72" t="s">
        <v>130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74"/>
      <c r="N52" s="62"/>
      <c r="O52" s="62"/>
    </row>
    <row r="53" spans="1:15" ht="18.75">
      <c r="A53" s="72" t="s">
        <v>131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129900.55</v>
      </c>
      <c r="F53" s="93" t="s">
        <v>169</v>
      </c>
      <c r="G53" s="65"/>
      <c r="H53" s="65"/>
      <c r="L53" s="62"/>
      <c r="M53" s="174"/>
      <c r="N53" s="62"/>
      <c r="O53" s="62"/>
    </row>
    <row r="54" spans="1:15" ht="18.75" customHeight="1">
      <c r="A54" s="72" t="s">
        <v>132</v>
      </c>
      <c r="B54" s="74" t="s">
        <v>37</v>
      </c>
      <c r="C54" s="97">
        <v>8098.54</v>
      </c>
      <c r="D54" s="93" t="s">
        <v>170</v>
      </c>
      <c r="E54" s="68"/>
      <c r="F54" s="88"/>
      <c r="G54" s="63"/>
      <c r="H54" s="63"/>
      <c r="L54" s="62"/>
      <c r="M54" s="174"/>
      <c r="N54" s="62"/>
      <c r="O54" s="62"/>
    </row>
    <row r="55" spans="1:15" ht="18.75" customHeight="1">
      <c r="A55" s="72" t="s">
        <v>133</v>
      </c>
      <c r="B55" s="74" t="s">
        <v>38</v>
      </c>
      <c r="C55" s="85">
        <v>139235.72</v>
      </c>
      <c r="D55" s="93" t="s">
        <v>168</v>
      </c>
      <c r="E55" s="68"/>
      <c r="G55" s="63"/>
      <c r="H55" s="63"/>
      <c r="L55" s="62"/>
      <c r="M55" s="174"/>
      <c r="N55" s="62"/>
      <c r="O55" s="62"/>
    </row>
    <row r="56" spans="1:15" ht="18.75" customHeight="1">
      <c r="A56" s="72" t="s">
        <v>134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74"/>
      <c r="N56" s="62"/>
      <c r="O56" s="62"/>
    </row>
    <row r="57" spans="1:15" ht="18.75" customHeight="1">
      <c r="A57" s="72" t="s">
        <v>135</v>
      </c>
      <c r="B57" s="74" t="s">
        <v>40</v>
      </c>
      <c r="C57" s="92">
        <f>E53</f>
        <v>129900.55</v>
      </c>
      <c r="D57" s="79" t="s">
        <v>59</v>
      </c>
      <c r="E57" s="68"/>
      <c r="G57" s="63"/>
      <c r="H57" s="63"/>
      <c r="L57" s="62"/>
      <c r="M57" s="174"/>
      <c r="N57" s="62"/>
      <c r="O57" s="62"/>
    </row>
    <row r="58" spans="1:15" ht="18.75" customHeight="1">
      <c r="A58" s="72" t="s">
        <v>136</v>
      </c>
      <c r="B58" s="74" t="s">
        <v>41</v>
      </c>
      <c r="C58" s="92">
        <f>E53</f>
        <v>129900.55</v>
      </c>
      <c r="D58" s="79" t="s">
        <v>59</v>
      </c>
      <c r="E58" s="68"/>
      <c r="G58" s="63"/>
      <c r="H58" s="63"/>
      <c r="L58" s="62"/>
      <c r="M58" s="174"/>
      <c r="N58" s="62"/>
      <c r="O58" s="62"/>
    </row>
    <row r="59" spans="1:15" ht="18.75" customHeight="1">
      <c r="A59" s="72" t="s">
        <v>137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74"/>
      <c r="N59" s="62"/>
      <c r="O59" s="62"/>
    </row>
    <row r="60" spans="1:15" ht="33.75" customHeight="1">
      <c r="A60" s="72" t="s">
        <v>138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74"/>
      <c r="N60" s="62"/>
      <c r="O60" s="62"/>
    </row>
    <row r="61" spans="1:15" ht="15.75">
      <c r="A61" s="72" t="s">
        <v>139</v>
      </c>
      <c r="B61" s="76" t="s">
        <v>80</v>
      </c>
      <c r="C61" s="95" t="str">
        <f>IF(E61&gt;0,"Предоставляется",0)</f>
        <v>Предоставляется</v>
      </c>
      <c r="D61" s="95" t="s">
        <v>55</v>
      </c>
      <c r="E61" s="94">
        <v>120673.29</v>
      </c>
      <c r="F61" s="93" t="s">
        <v>169</v>
      </c>
      <c r="G61" s="65"/>
      <c r="H61" s="65"/>
    </row>
    <row r="62" spans="1:15" ht="15.75" customHeight="1">
      <c r="A62" s="72" t="s">
        <v>140</v>
      </c>
      <c r="B62" s="74" t="s">
        <v>37</v>
      </c>
      <c r="C62" s="97">
        <v>224.36</v>
      </c>
      <c r="D62" s="93" t="s">
        <v>170</v>
      </c>
      <c r="E62" s="68"/>
      <c r="G62" s="63"/>
      <c r="H62" s="63"/>
    </row>
    <row r="63" spans="1:15" ht="15.75" customHeight="1">
      <c r="A63" s="72" t="s">
        <v>141</v>
      </c>
      <c r="B63" s="74" t="s">
        <v>38</v>
      </c>
      <c r="C63" s="85">
        <v>130103.97</v>
      </c>
      <c r="D63" s="93" t="s">
        <v>168</v>
      </c>
      <c r="E63" s="68"/>
      <c r="G63" s="63"/>
      <c r="H63" s="63"/>
    </row>
    <row r="64" spans="1:15" ht="15.75" customHeight="1">
      <c r="A64" s="72" t="s">
        <v>142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143</v>
      </c>
      <c r="B65" s="74" t="s">
        <v>40</v>
      </c>
      <c r="C65" s="92">
        <f>E61</f>
        <v>120673.29</v>
      </c>
      <c r="D65" s="79" t="s">
        <v>59</v>
      </c>
      <c r="E65" s="68"/>
      <c r="G65" s="63"/>
      <c r="H65" s="63"/>
    </row>
    <row r="66" spans="1:8" ht="15.75" customHeight="1">
      <c r="A66" s="72" t="s">
        <v>144</v>
      </c>
      <c r="B66" s="74" t="s">
        <v>41</v>
      </c>
      <c r="C66" s="92">
        <f>E61</f>
        <v>120673.29</v>
      </c>
      <c r="D66" s="79" t="s">
        <v>59</v>
      </c>
      <c r="E66" s="68"/>
      <c r="G66" s="63"/>
      <c r="H66" s="63"/>
    </row>
    <row r="67" spans="1:8" ht="15.75" customHeight="1">
      <c r="A67" s="72" t="s">
        <v>145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146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147</v>
      </c>
      <c r="B69" s="76" t="s">
        <v>81</v>
      </c>
      <c r="C69" s="95" t="str">
        <f>IF(E69&gt;0,"Предоставляется",0)</f>
        <v>Предоставляется</v>
      </c>
      <c r="D69" s="95" t="s">
        <v>55</v>
      </c>
      <c r="E69" s="94">
        <v>12114.37</v>
      </c>
      <c r="F69" s="93" t="s">
        <v>169</v>
      </c>
      <c r="G69" s="65"/>
      <c r="H69" s="65"/>
    </row>
    <row r="70" spans="1:8" ht="15.75" customHeight="1">
      <c r="A70" s="72" t="s">
        <v>148</v>
      </c>
      <c r="B70" s="74" t="s">
        <v>37</v>
      </c>
      <c r="C70" s="97">
        <v>917.76</v>
      </c>
      <c r="D70" s="93" t="s">
        <v>170</v>
      </c>
      <c r="E70" s="68"/>
      <c r="G70" s="63"/>
      <c r="H70" s="63"/>
    </row>
    <row r="71" spans="1:8" ht="15.75" customHeight="1">
      <c r="A71" s="72" t="s">
        <v>149</v>
      </c>
      <c r="B71" s="74" t="s">
        <v>38</v>
      </c>
      <c r="C71" s="85">
        <v>10432.1</v>
      </c>
      <c r="D71" s="93" t="s">
        <v>168</v>
      </c>
      <c r="E71" s="68"/>
      <c r="G71" s="63"/>
      <c r="H71" s="63"/>
    </row>
    <row r="72" spans="1:8" ht="15.75" customHeight="1">
      <c r="A72" s="72" t="s">
        <v>150</v>
      </c>
      <c r="B72" s="74" t="s">
        <v>39</v>
      </c>
      <c r="C72" s="92">
        <f>IF(E69-C71&lt;0,0,E69-C71)</f>
        <v>1682.2700000000004</v>
      </c>
      <c r="D72" s="79" t="s">
        <v>59</v>
      </c>
      <c r="E72" s="68"/>
      <c r="G72" s="63"/>
      <c r="H72" s="63"/>
    </row>
    <row r="73" spans="1:8" ht="15.75" customHeight="1">
      <c r="A73" s="72" t="s">
        <v>151</v>
      </c>
      <c r="B73" s="74" t="s">
        <v>40</v>
      </c>
      <c r="C73" s="92">
        <f>E69</f>
        <v>12114.37</v>
      </c>
      <c r="D73" s="79" t="s">
        <v>59</v>
      </c>
      <c r="E73" s="68"/>
      <c r="G73" s="63"/>
      <c r="H73" s="63"/>
    </row>
    <row r="74" spans="1:8" ht="15.75" customHeight="1">
      <c r="A74" s="72" t="s">
        <v>152</v>
      </c>
      <c r="B74" s="74" t="s">
        <v>41</v>
      </c>
      <c r="C74" s="92">
        <f>E69</f>
        <v>12114.37</v>
      </c>
      <c r="D74" s="79" t="s">
        <v>59</v>
      </c>
      <c r="E74" s="68"/>
      <c r="G74" s="63"/>
      <c r="H74" s="63"/>
    </row>
    <row r="75" spans="1:8" ht="15.75" customHeight="1">
      <c r="A75" s="72" t="s">
        <v>153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154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155</v>
      </c>
      <c r="B77" s="76" t="s">
        <v>82</v>
      </c>
      <c r="C77" s="95">
        <f>IF(E77&gt;0,"Предоставляется",0)</f>
        <v>0</v>
      </c>
      <c r="D77" s="95" t="s">
        <v>83</v>
      </c>
      <c r="E77" s="94">
        <v>0</v>
      </c>
      <c r="F77" s="93" t="s">
        <v>169</v>
      </c>
      <c r="G77" s="65"/>
      <c r="H77" s="65"/>
    </row>
    <row r="78" spans="1:8" ht="15.75" customHeight="1">
      <c r="A78" s="72" t="s">
        <v>156</v>
      </c>
      <c r="B78" s="74" t="s">
        <v>37</v>
      </c>
      <c r="C78" s="97">
        <v>0</v>
      </c>
      <c r="D78" s="93" t="s">
        <v>171</v>
      </c>
      <c r="E78" s="63"/>
      <c r="G78" s="63"/>
      <c r="H78" s="63"/>
    </row>
    <row r="79" spans="1:8" ht="15.75" customHeight="1">
      <c r="A79" s="72" t="s">
        <v>157</v>
      </c>
      <c r="B79" s="74" t="s">
        <v>38</v>
      </c>
      <c r="C79" s="85">
        <v>0</v>
      </c>
      <c r="D79" s="93" t="s">
        <v>168</v>
      </c>
      <c r="E79" s="63"/>
      <c r="G79" s="63"/>
      <c r="H79" s="63"/>
    </row>
    <row r="80" spans="1:8" ht="15.75" customHeight="1">
      <c r="A80" s="72" t="s">
        <v>158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159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160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161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162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172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173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174</v>
      </c>
      <c r="B4" s="58" t="s">
        <v>47</v>
      </c>
      <c r="C4" s="105">
        <v>62913.01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2022-03-28T03:56:18Z</dcterms:modified>
</cp:coreProperties>
</file>