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7" i="1" l="1"/>
  <c r="A113" i="1"/>
  <c r="F110" i="1"/>
  <c r="A119" i="1"/>
  <c r="A123" i="1"/>
  <c r="A118" i="1"/>
  <c r="A120" i="1"/>
  <c r="A111" i="1"/>
  <c r="D118" i="1"/>
  <c r="A124" i="1"/>
  <c r="A110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7" i="1" l="1"/>
  <c r="A177" i="1" s="1"/>
  <c r="I177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64" i="1"/>
  <c r="H177" i="1"/>
  <c r="F168" i="1"/>
  <c r="H178" i="1"/>
  <c r="F180" i="1"/>
  <c r="H186" i="1"/>
  <c r="F179" i="1"/>
  <c r="F178" i="1"/>
  <c r="H168" i="1"/>
  <c r="H167" i="1"/>
  <c r="F167" i="1"/>
  <c r="F173" i="1"/>
  <c r="F165" i="1"/>
  <c r="H176" i="1"/>
  <c r="H184" i="1"/>
  <c r="F181" i="1"/>
  <c r="F184" i="1"/>
  <c r="F172" i="1"/>
  <c r="H172" i="1"/>
  <c r="H182" i="1"/>
  <c r="F176" i="1"/>
  <c r="F175" i="1"/>
  <c r="F182" i="1"/>
  <c r="H166" i="1"/>
  <c r="F166" i="1"/>
  <c r="H175" i="1"/>
  <c r="H181" i="1"/>
  <c r="H170" i="1"/>
  <c r="H174" i="1"/>
  <c r="H179" i="1"/>
  <c r="H165" i="1"/>
  <c r="H171" i="1"/>
  <c r="F186" i="1"/>
  <c r="F177" i="1"/>
  <c r="F170" i="1"/>
  <c r="F171" i="1"/>
  <c r="F174" i="1"/>
  <c r="F164" i="1"/>
  <c r="H185" i="1"/>
  <c r="F185" i="1"/>
  <c r="F187" i="1"/>
  <c r="H169" i="1"/>
  <c r="F169" i="1"/>
  <c r="H187" i="1"/>
  <c r="H180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<sst xmlns="http://schemas.openxmlformats.org/spreadsheetml/2006/main" count="576" uniqueCount="219">
  <si>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</si>
  <si>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</si>
  <si>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</si>
  <si>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</si>
  <si>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</si>
  <si>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</si>
  <si>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</si>
  <si>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</si>
  <si>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</si>
  <si>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</si>
  <si>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</si>
  <si>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</si>
  <si>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</si>
  <si>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</si>
  <si>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</si>
  <si>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</si>
  <si>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</si>
  <si>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</si>
  <si>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</si>
  <si>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</si>
  <si>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</si>
  <si>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</si>
  <si>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</si>
  <si>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</si>
  <si>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</si>
  <si>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</si>
  <si>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</si>
  <si>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</si>
  <si>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</si>
  <si>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</si>
  <si>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</si>
  <si>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</si>
  <si>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</si>
  <si>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</si>
  <si>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</si>
  <si>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</si>
  <si>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</si>
  <si>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</si>
  <si>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</si>
  <si>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</si>
  <si>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</si>
  <si>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</si>
  <si>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</si>
  <si>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</si>
  <si>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</si>
  <si>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</si>
  <si>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</si>
  <si>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</si>
  <si>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</si>
  <si>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</si>
  <si>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</si>
  <si>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</si>
  <si>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</si>
  <si>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</si>
  <si>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</si>
  <si>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</si>
  <si>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</si>
  <si>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</si>
  <si>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</si>
  <si>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</si>
  <si>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</si>
  <si>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</si>
  <si>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</si>
  <si>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</si>
  <si>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</si>
  <si>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</si>
  <si>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</si>
  <si>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</si>
  <si>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</si>
  <si>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</si>
  <si>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</si>
  <si>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</si>
  <si>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</si>
  <si>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</si>
  <si>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</si>
  <si>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</si>
  <si>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</si>
  <si>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</si>
  <si>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</si>
  <si>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</si>
  <si>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</si>
  <si>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</si>
  <si>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</si>
  <si>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</si>
  <si>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</si>
  <si>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</si>
  <si>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</si>
  <si>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</si>
  <si>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</si>
  <si>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</si>
  <si>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</si>
  <si>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</si>
  <si>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</si>
  <si>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</si>
  <si>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</si>
  <si>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</si>
  <si>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</si>
  <si>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</si>
  <si>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</si>
  <si>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</si>
  <si>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</si>
  <si>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</si>
  <si>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</si>
  <si>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</si>
  <si>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</si>
  <si>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</si>
  <si>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</si>
  <si>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</si>
  <si>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</si>
  <si>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</si>
  <si>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</si>
  <si>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</si>
  <si>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</si>
  <si>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</si>
  <si>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</si>
  <si>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</si>
  <si>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</si>
  <si>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</si>
  <si>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</si>
  <si>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</si>
  <si>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</si>
  <si>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</si>
  <si>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</si>
  <si>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</si>
  <si>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</si>
  <si>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</si>
  <si>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</si>
  <si>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</si>
  <si>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</si>
  <si>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</si>
  <si>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</si>
  <si>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</si>
  <si>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</si>
  <si>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</si>
  <si>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</si>
  <si>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</si>
  <si>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</si>
  <si>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</si>
  <si>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</si>
  <si>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</si>
  <si>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</si>
  <si>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</si>
  <si>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</si>
  <si>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</si>
  <si>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</si>
  <si>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</si>
  <si>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</si>
  <si>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</si>
  <si>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</si>
  <si>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</si>
  <si>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</si>
  <si>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</si>
  <si>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</si>
  <si>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</si>
  <si>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</si>
  <si>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</si>
  <si>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</si>
  <si>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</si>
  <si>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</si>
  <si>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</si>
  <si>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</si>
  <si>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</si>
  <si>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</si>
  <si>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</si>
  <si>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</si>
  <si>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</si>
  <si>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</si>
  <si>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</si>
  <si>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</si>
  <si>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</si>
  <si>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</si>
  <si>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</si>
  <si>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</si>
  <si>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</si>
  <si>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</si>
  <si>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</si>
  <si>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141/1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</si>
  <si>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</si>
  <si>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</si>
  <si>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</si>
  <si>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</si>
  <si>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</si>
  <si>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</si>
  <si>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</si>
  <si>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</si>
  <si>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</si>
  <si>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</si>
  <si>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</si>
  <si>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</si>
  <si>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Изготовление и монтаж металлического козырька над подъездом.</t>
  </si>
  <si>
    <t>разово</t>
  </si>
  <si>
    <t>Монтаж дополнительных камер системы видеонаблюдения.</t>
  </si>
  <si>
    <t>Приобретение искусственной ели, проведение новогоднего праздника.</t>
  </si>
  <si>
    <t>АВР 1/20 от 15.01.2020</t>
  </si>
  <si>
    <t>АВР 2/20 от 05.03.2020, Решение, счет №14 от 12.02.2020</t>
  </si>
  <si>
    <t>Приобретение и установка таблички по пожарной безопасности.</t>
  </si>
  <si>
    <t>АВР 3/20 от 05.03.2020, счет от 12.03.2020</t>
  </si>
  <si>
    <t>АВР 4/20 от 25.05.2020</t>
  </si>
  <si>
    <t>Изготовление и монтаж тамбурных дверей (2 шт.).</t>
  </si>
  <si>
    <t>Замена прибора учета электрической энергии.</t>
  </si>
  <si>
    <t>Аварийная замена задвижки на стояке ГВС в ИТП.</t>
  </si>
  <si>
    <t>АВР 5/20 от 25.06.2020</t>
  </si>
  <si>
    <t>Замена шарового крана подачи на теплообменник ГВС.</t>
  </si>
  <si>
    <t xml:space="preserve">Монтаж системы видеонаблюдения. </t>
  </si>
  <si>
    <t>Замена вводного автомата в подъезде.</t>
  </si>
  <si>
    <t>АВР 7/20 от 17.08.2020</t>
  </si>
  <si>
    <t>АВР 8/20 от 31.08.2020, Решение, счет №К6-270538 от 09.06.2020, смета</t>
  </si>
  <si>
    <t>Аварийный ремонт теплообменника ГВС в ИТП.</t>
  </si>
  <si>
    <t>АВР 6/20 от 07.08.2020</t>
  </si>
  <si>
    <t>АВР 9/20 от 10.09.2020, Решение, счет №352 от 02.07.2020, калькуляция</t>
  </si>
  <si>
    <t>АВР 10/20 от 07.12.2020, Решение, счет №9 от 30.01.2020, калькуляция</t>
  </si>
  <si>
    <t>АВР 11/20 от 07.12.2020, счет №5146 от 25.06.2020</t>
  </si>
  <si>
    <t>Диагностика неисправностей системы видеонаблюдения.</t>
  </si>
  <si>
    <t>АВР 13/20 от 21.12.2020, счет №93 от 08.12.2020</t>
  </si>
  <si>
    <t>Услуги и работы по управлению МКД</t>
  </si>
  <si>
    <t>АВР 12/20 от 31.12.2020</t>
  </si>
  <si>
    <t>АВР 14/20 от 31.12.2020</t>
  </si>
  <si>
    <t xml:space="preserve">  -  ремонт подъезда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</si>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</sst>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32" fillId="0" borderId="0"/>
    <xf numFmtId="0" fontId="32" fillId="0" borderId="0"/>
    <xf numFmtId="0" fontId="13" fillId="0" borderId="0"/>
    <xf numFmtId="0" fontId="12" fillId="0" borderId="0"/>
  </cellStyleXfs>
  <cellXfs count="19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0" fontId="18" fillId="0" borderId="0" xfId="4" applyFill="1" applyBorder="1" applyAlignment="1">
      <alignment horizontal="center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0" fontId="17" fillId="0" borderId="0" xfId="5" applyFont="1" applyFill="1" applyBorder="1" applyAlignment="1">
      <alignment horizontal="center"/>
    </xf>
    <xf numFmtId="0" fontId="17" fillId="0" borderId="0" xfId="5" applyFill="1" applyBorder="1" applyAlignment="1">
      <alignment horizontal="center"/>
    </xf>
    <xf numFmtId="0" fontId="17" fillId="0" borderId="0" xfId="5" applyFill="1" applyBorder="1" applyAlignment="1"/>
    <xf numFmtId="0" fontId="31" fillId="0" borderId="0" xfId="5" applyFont="1" applyFill="1" applyBorder="1" applyAlignment="1"/>
    <xf numFmtId="0" fontId="0" fillId="0" borderId="0" xfId="0" applyFill="1"/>
    <xf numFmtId="0" fontId="16" fillId="0" borderId="0" xfId="5" applyFont="1" applyFill="1" applyBorder="1" applyAlignment="1"/>
    <xf numFmtId="0" fontId="24" fillId="0" borderId="0" xfId="0" applyFont="1" applyBorder="1" applyAlignment="1"/>
    <xf numFmtId="4" fontId="24" fillId="0" borderId="0" xfId="0" applyNumberFormat="1" applyFont="1" applyBorder="1" applyAlignment="1"/>
    <xf numFmtId="0" fontId="14" fillId="0" borderId="0" xfId="4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 vertical="center"/>
    </xf>
    <xf numFmtId="4" fontId="17" fillId="0" borderId="0" xfId="5" applyNumberFormat="1" applyFill="1" applyBorder="1" applyAlignment="1">
      <alignment vertical="center"/>
    </xf>
    <xf numFmtId="0" fontId="13" fillId="0" borderId="0" xfId="8" applyFont="1" applyFill="1" applyBorder="1" applyAlignment="1"/>
    <xf numFmtId="0" fontId="13" fillId="0" borderId="0" xfId="8" applyFont="1" applyFill="1" applyBorder="1" applyAlignment="1">
      <alignment horizontal="center"/>
    </xf>
    <xf numFmtId="1" fontId="13" fillId="0" borderId="0" xfId="8" applyNumberFormat="1" applyFill="1" applyBorder="1" applyAlignment="1">
      <alignment horizontal="center"/>
    </xf>
    <xf numFmtId="4" fontId="13" fillId="0" borderId="0" xfId="8" applyNumberFormat="1" applyFill="1" applyBorder="1" applyAlignment="1"/>
    <xf numFmtId="0" fontId="13" fillId="0" borderId="0" xfId="8" applyFont="1" applyFill="1" applyBorder="1"/>
    <xf numFmtId="0" fontId="12" fillId="0" borderId="0" xfId="9" applyFont="1" applyFill="1" applyBorder="1" applyAlignment="1">
      <alignment horizontal="center"/>
    </xf>
    <xf numFmtId="0" fontId="12" fillId="0" borderId="0" xfId="9" applyFill="1" applyBorder="1" applyAlignment="1">
      <alignment horizontal="center" vertical="center"/>
    </xf>
    <xf numFmtId="4" fontId="12" fillId="0" borderId="0" xfId="9" applyNumberFormat="1" applyFill="1" applyBorder="1" applyAlignment="1"/>
    <xf numFmtId="0" fontId="10" fillId="0" borderId="0" xfId="9" applyFont="1" applyFill="1" applyBorder="1" applyAlignment="1"/>
    <xf numFmtId="0" fontId="15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/>
    <xf numFmtId="0" fontId="11" fillId="0" borderId="0" xfId="5" applyFont="1" applyFill="1" applyBorder="1" applyAlignment="1"/>
    <xf numFmtId="0" fontId="11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/>
    <xf numFmtId="0" fontId="7" fillId="0" borderId="0" xfId="2" applyFont="1" applyFill="1" applyBorder="1" applyAlignment="1"/>
    <xf numFmtId="0" fontId="7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5" fillId="0" borderId="0" xfId="5" applyFont="1" applyFill="1" applyBorder="1" applyAlignment="1"/>
    <xf numFmtId="0" fontId="3" fillId="0" borderId="0" xfId="5" applyFont="1" applyFill="1" applyBorder="1"/>
    <xf numFmtId="0" fontId="8" fillId="0" borderId="0" xfId="2" applyFont="1" applyFill="1" applyBorder="1" applyAlignment="1"/>
    <xf numFmtId="0" fontId="8" fillId="0" borderId="0" xfId="5" applyFont="1" applyFill="1" applyBorder="1" applyAlignment="1">
      <alignment horizontal="center"/>
    </xf>
    <xf numFmtId="4" fontId="8" fillId="0" borderId="0" xfId="5" applyNumberFormat="1" applyFont="1" applyFill="1" applyBorder="1" applyAlignment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5" applyNumberFormat="1" applyFont="1" applyFill="1" applyBorder="1" applyAlignment="1"/>
    <xf numFmtId="0" fontId="1" fillId="0" borderId="0" xfId="5" applyFont="1" applyFill="1" applyBorder="1"/>
    <xf numFmtId="0" fontId="4" fillId="0" borderId="0" xfId="4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5 3" xfId="9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85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43831</v>
      </c>
      <c r="K4" s="110"/>
      <c r="L4" s="110"/>
      <c r="M4" s="110"/>
      <c r="N4" s="110"/>
    </row>
    <row r="5" spans="1:18">
      <c r="A5" s="1" t="s">
        <v>1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82" t="s">
        <v>2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10"/>
      <c r="L8" s="186"/>
      <c r="M8" s="110"/>
      <c r="N8" s="110"/>
      <c r="O8" s="71" t="s">
        <v>83</v>
      </c>
      <c r="R8" s="16"/>
    </row>
    <row r="9" spans="1:18" ht="18.75" customHeight="1" outlineLevel="1">
      <c r="A9" s="182" t="s">
        <v>3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10"/>
      <c r="L9" s="186"/>
      <c r="M9" s="110"/>
      <c r="N9" s="110"/>
      <c r="O9" s="71" t="s">
        <v>84</v>
      </c>
    </row>
    <row r="10" spans="1:18" ht="18.75" customHeight="1" outlineLevel="1">
      <c r="A10" s="182" t="s">
        <v>4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403975.03999999992</v>
      </c>
      <c r="K10" s="110"/>
      <c r="L10" s="186"/>
      <c r="M10" s="110"/>
      <c r="N10" s="110"/>
      <c r="O10" s="71" t="s">
        <v>85</v>
      </c>
    </row>
    <row r="11" spans="1:18" outlineLevel="1">
      <c r="A11" s="182" t="s">
        <v>5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1050249.51</v>
      </c>
      <c r="K11" s="110"/>
      <c r="L11" s="186"/>
      <c r="M11" s="110"/>
      <c r="N11" s="110"/>
      <c r="O11" s="71" t="s">
        <v>86</v>
      </c>
    </row>
    <row r="12" spans="1:18" ht="18.75" customHeight="1" outlineLevel="1">
      <c r="A12" s="182" t="s">
        <v>6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629640.34000000008</v>
      </c>
      <c r="K12" s="110"/>
      <c r="L12" s="186"/>
      <c r="M12" s="110"/>
      <c r="N12" s="110"/>
      <c r="O12" s="71" t="s">
        <v>87</v>
      </c>
    </row>
    <row r="13" spans="1:18" ht="18.75" customHeight="1" outlineLevel="1">
      <c r="A13" s="182" t="s">
        <v>7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227610</v>
      </c>
      <c r="K13" s="110"/>
      <c r="L13" s="186"/>
      <c r="M13" s="110"/>
      <c r="N13" s="110"/>
      <c r="O13" s="71" t="s">
        <v>88</v>
      </c>
    </row>
    <row r="14" spans="1:18" ht="18.75" customHeight="1" outlineLevel="1">
      <c r="A14" s="182" t="s">
        <v>8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192999.16999999998</v>
      </c>
      <c r="K14" s="110"/>
      <c r="L14" s="186"/>
      <c r="M14" s="110"/>
      <c r="N14" s="110"/>
      <c r="O14" s="71" t="s">
        <v>89</v>
      </c>
    </row>
    <row r="15" spans="1:18" ht="18.75" customHeight="1" outlineLevel="1">
      <c r="A15" s="182" t="s">
        <v>9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992623.2699999999</v>
      </c>
      <c r="K15" s="110"/>
      <c r="L15" s="186"/>
      <c r="M15" s="110"/>
      <c r="N15" s="110"/>
      <c r="O15" s="71" t="s">
        <v>90</v>
      </c>
    </row>
    <row r="16" spans="1:18" ht="18.75" customHeight="1" outlineLevel="1">
      <c r="A16" s="182" t="s">
        <v>10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992623.2699999999</v>
      </c>
      <c r="K16" s="110"/>
      <c r="L16" s="186"/>
      <c r="M16" s="110"/>
      <c r="N16" s="110"/>
      <c r="O16" s="71" t="s">
        <v>91</v>
      </c>
    </row>
    <row r="17" spans="1:23" ht="18.75" customHeight="1" outlineLevel="1">
      <c r="A17" s="182" t="s">
        <v>11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10"/>
      <c r="L17" s="186"/>
      <c r="M17" s="110"/>
      <c r="N17" s="110"/>
      <c r="O17" s="71" t="s">
        <v>92</v>
      </c>
    </row>
    <row r="18" spans="1:23" ht="18.75" customHeight="1" outlineLevel="1">
      <c r="A18" s="182" t="s">
        <v>12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10"/>
      <c r="L18" s="186"/>
      <c r="M18" s="110"/>
      <c r="N18" s="110"/>
      <c r="O18" s="71" t="s">
        <v>93</v>
      </c>
    </row>
    <row r="19" spans="1:23" ht="18.75" customHeight="1" outlineLevel="1">
      <c r="A19" s="182" t="s">
        <v>13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10"/>
      <c r="L19" s="186"/>
      <c r="M19" s="110"/>
      <c r="N19" s="110"/>
      <c r="O19" s="71" t="s">
        <v>94</v>
      </c>
    </row>
    <row r="20" spans="1:23" ht="18.75" customHeight="1" outlineLevel="1">
      <c r="A20" s="182" t="s">
        <v>14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10"/>
      <c r="L20" s="186"/>
      <c r="M20" s="110"/>
      <c r="N20" s="110"/>
      <c r="O20" s="71" t="s">
        <v>95</v>
      </c>
    </row>
    <row r="21" spans="1:23" ht="18.75" customHeight="1" outlineLevel="1">
      <c r="A21" s="182" t="s">
        <v>15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992623.2699999999</v>
      </c>
      <c r="K21" s="110"/>
      <c r="L21" s="186"/>
      <c r="M21" s="110"/>
      <c r="N21" s="110"/>
      <c r="O21" s="71" t="s">
        <v>96</v>
      </c>
    </row>
    <row r="22" spans="1:23" ht="18.75" customHeight="1" outlineLevel="1">
      <c r="A22" s="182" t="s">
        <v>16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10"/>
      <c r="L22" s="186"/>
      <c r="M22" s="110"/>
      <c r="N22" s="110"/>
      <c r="O22" s="71" t="s">
        <v>97</v>
      </c>
    </row>
    <row r="23" spans="1:23" ht="18.75" customHeight="1" outlineLevel="1">
      <c r="A23" s="182" t="s">
        <v>17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10"/>
      <c r="L23" s="186"/>
      <c r="M23" s="110"/>
      <c r="N23" s="110"/>
      <c r="O23" s="71" t="s">
        <v>98</v>
      </c>
    </row>
    <row r="24" spans="1:23" ht="18.75" customHeight="1" outlineLevel="1">
      <c r="A24" s="182" t="s">
        <v>18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461601.27999999991</v>
      </c>
      <c r="K24" s="110"/>
      <c r="L24" s="186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10"/>
      <c r="L27" s="18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258136.92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10"/>
      <c r="L28" s="18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67834.92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10"/>
      <c r="L29" s="187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76940.28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10"/>
      <c r="L30" s="18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54632.160000000003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10"/>
      <c r="L31" s="18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10"/>
      <c r="L32" s="18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21852.84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10"/>
      <c r="L33" s="18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112451.16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10"/>
      <c r="L34" s="18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Услуги и работы по управлению МКД</v>
      </c>
      <c r="B35" s="163"/>
      <c r="C35" s="163"/>
      <c r="D35" s="163"/>
      <c r="E35" s="163"/>
      <c r="F35" s="164">
        <f>VLOOKUP(A35,ПТО!$A$39:$D$53,2,FALSE)</f>
        <v>182107.2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10"/>
      <c r="L35" s="187"/>
      <c r="M35" s="116"/>
      <c r="N35" s="110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4" t="e">
        <f>VLOOKUP(A36,ПТО!$A$39:$D$53,2,FALSE)</f>
        <v>#N/A</v>
      </c>
      <c r="G36" s="164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10"/>
      <c r="L36" s="187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10"/>
      <c r="L37" s="187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10"/>
      <c r="L38" s="187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10"/>
      <c r="L39" s="187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10"/>
      <c r="L40" s="187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10"/>
      <c r="L41" s="187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10"/>
      <c r="L42" s="187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освидетельствование лифта.</v>
      </c>
      <c r="B43" s="163"/>
      <c r="C43" s="163"/>
      <c r="D43" s="163"/>
      <c r="E43" s="163"/>
      <c r="F43" s="164">
        <f>VLOOKUP(A43,ПТО!$A$2:$D$31,4,FALSE)</f>
        <v>8100</v>
      </c>
      <c r="G43" s="164"/>
      <c r="H43" s="19" t="str">
        <f>VLOOKUP(A43,ПТО!$A$2:$D$31,2,FALSE)</f>
        <v>ежегодно</v>
      </c>
      <c r="I43" s="165">
        <f>VLOOKUP(A43,ПТО!$A$2:$D$31,3,FALSE)</f>
        <v>1</v>
      </c>
      <c r="J43" s="165"/>
      <c r="K43" s="110"/>
      <c r="L43" s="187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3" t="str">
        <f>ПТО!A3</f>
        <v>Техническое обслуживание охранной сигнализации.</v>
      </c>
      <c r="B44" s="163"/>
      <c r="C44" s="163"/>
      <c r="D44" s="163"/>
      <c r="E44" s="163"/>
      <c r="F44" s="164">
        <f>VLOOKUP(A44,ПТО!$A$2:$D$31,4,FALSE)</f>
        <v>6000</v>
      </c>
      <c r="G44" s="164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10"/>
      <c r="L44" s="187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3" t="str">
        <f>ПТО!A4</f>
        <v>Приобретение искусственной ели, проведение новогоднего праздника.</v>
      </c>
      <c r="B45" s="163"/>
      <c r="C45" s="163"/>
      <c r="D45" s="163"/>
      <c r="E45" s="163"/>
      <c r="F45" s="164">
        <f>VLOOKUP(A45,ПТО!$A$2:$D$31,4,FALSE)</f>
        <v>4000</v>
      </c>
      <c r="G45" s="164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10"/>
      <c r="L45" s="187"/>
      <c r="M45" s="116"/>
      <c r="N45" s="110"/>
      <c r="O45" s="23" t="str">
        <f t="shared" si="1"/>
        <v>Приобретение искусственной ели, проведение новогоднего праздника.</v>
      </c>
      <c r="R45" s="22" t="s">
        <v>72</v>
      </c>
    </row>
    <row r="46" spans="1:18" ht="51" customHeight="1" outlineLevel="1">
      <c r="A46" s="163" t="str">
        <f>ПТО!A5</f>
        <v>Монтаж дополнительных камер системы видеонаблюдения.</v>
      </c>
      <c r="B46" s="163"/>
      <c r="C46" s="163"/>
      <c r="D46" s="163"/>
      <c r="E46" s="163"/>
      <c r="F46" s="164">
        <f>VLOOKUP(A46,ПТО!$A$2:$D$31,4,FALSE)</f>
        <v>68715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10"/>
      <c r="L46" s="187"/>
      <c r="M46" s="116"/>
      <c r="N46" s="110"/>
      <c r="O46" s="23" t="str">
        <f t="shared" si="1"/>
        <v>Монтаж дополнительных камер системы видеонаблюдения.</v>
      </c>
      <c r="R46" s="22" t="s">
        <v>72</v>
      </c>
    </row>
    <row r="47" spans="1:18" ht="51" customHeight="1" outlineLevel="1">
      <c r="A47" s="163" t="str">
        <f>ПТО!A6</f>
        <v>Приобретение и установка таблички по пожарной безопасности.</v>
      </c>
      <c r="B47" s="163"/>
      <c r="C47" s="163"/>
      <c r="D47" s="163"/>
      <c r="E47" s="163"/>
      <c r="F47" s="164">
        <f>VLOOKUP(A47,ПТО!$A$2:$D$31,4,FALSE)</f>
        <v>250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10"/>
      <c r="L47" s="187"/>
      <c r="M47" s="116"/>
      <c r="N47" s="110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63" t="str">
        <f>ПТО!A7</f>
        <v>Замена прибора учета электрической энергии.</v>
      </c>
      <c r="B48" s="163"/>
      <c r="C48" s="163"/>
      <c r="D48" s="163"/>
      <c r="E48" s="163"/>
      <c r="F48" s="164">
        <f>VLOOKUP(A48,ПТО!$A$2:$D$31,4,FALSE)</f>
        <v>18705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10"/>
      <c r="L48" s="187"/>
      <c r="M48" s="116"/>
      <c r="N48" s="110"/>
      <c r="O48" s="23" t="str">
        <f t="shared" si="1"/>
        <v>Замена прибора учета электрической энергии.</v>
      </c>
      <c r="R48" s="22" t="s">
        <v>72</v>
      </c>
    </row>
    <row r="49" spans="1:18" ht="51" customHeight="1" outlineLevel="1">
      <c r="A49" s="163" t="str">
        <f>ПТО!A8</f>
        <v>Аварийная замена задвижки на стояке ГВС в ИТП.</v>
      </c>
      <c r="B49" s="163"/>
      <c r="C49" s="163"/>
      <c r="D49" s="163"/>
      <c r="E49" s="163"/>
      <c r="F49" s="164">
        <f>VLOOKUP(A49,ПТО!$A$2:$D$31,4,FALSE)</f>
        <v>750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10"/>
      <c r="L49" s="187"/>
      <c r="M49" s="116"/>
      <c r="N49" s="110"/>
      <c r="O49" s="23" t="str">
        <f t="shared" si="1"/>
        <v>Аварийная замена задвижки на стояке ГВС в ИТП.</v>
      </c>
      <c r="R49" s="22" t="s">
        <v>72</v>
      </c>
    </row>
    <row r="50" spans="1:18" ht="51" customHeight="1" outlineLevel="1">
      <c r="A50" s="163" t="str">
        <f>ПТО!A9</f>
        <v>Аварийный ремонт теплообменника ГВС в ИТП.</v>
      </c>
      <c r="B50" s="163"/>
      <c r="C50" s="163"/>
      <c r="D50" s="163"/>
      <c r="E50" s="163"/>
      <c r="F50" s="164">
        <f>VLOOKUP(A50,ПТО!$A$2:$D$31,4,FALSE)</f>
        <v>44238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10"/>
      <c r="L50" s="187"/>
      <c r="M50" s="116"/>
      <c r="N50" s="110"/>
      <c r="O50" s="23" t="str">
        <f t="shared" si="1"/>
        <v>Аварийный ремонт теплообменника ГВС в ИТП.</v>
      </c>
      <c r="R50" s="22" t="s">
        <v>72</v>
      </c>
    </row>
    <row r="51" spans="1:18" ht="51" customHeight="1" outlineLevel="1">
      <c r="A51" s="163" t="str">
        <f>ПТО!A10</f>
        <v>Замена вводного автомата в подъезде.</v>
      </c>
      <c r="B51" s="163"/>
      <c r="C51" s="163"/>
      <c r="D51" s="163"/>
      <c r="E51" s="163"/>
      <c r="F51" s="164">
        <f>VLOOKUP(A51,ПТО!$A$2:$D$31,4,FALSE)</f>
        <v>360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10"/>
      <c r="L51" s="187"/>
      <c r="M51" s="116"/>
      <c r="N51" s="110"/>
      <c r="O51" s="23" t="str">
        <f t="shared" si="1"/>
        <v>Замена вводного автомата в подъезде.</v>
      </c>
      <c r="R51" s="22" t="s">
        <v>72</v>
      </c>
    </row>
    <row r="52" spans="1:18" ht="51" customHeight="1" outlineLevel="1">
      <c r="A52" s="163" t="str">
        <f>ПТО!A11</f>
        <v>Изготовление и монтаж тамбурных дверей (2 шт.).</v>
      </c>
      <c r="B52" s="163"/>
      <c r="C52" s="163"/>
      <c r="D52" s="163"/>
      <c r="E52" s="163"/>
      <c r="F52" s="164">
        <f>VLOOKUP(A52,ПТО!$A$2:$D$31,4,FALSE)</f>
        <v>71506.259999999995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10"/>
      <c r="L52" s="187"/>
      <c r="M52" s="116"/>
      <c r="N52" s="110"/>
      <c r="O52" s="23" t="str">
        <f t="shared" si="1"/>
        <v>Изготовление и монтаж тамбурных дверей (2 шт.).</v>
      </c>
      <c r="R52" s="22" t="s">
        <v>72</v>
      </c>
    </row>
    <row r="53" spans="1:18" ht="51" customHeight="1" outlineLevel="1">
      <c r="A53" s="163" t="str">
        <f>ПТО!A12</f>
        <v xml:space="preserve">Монтаж системы видеонаблюдения. </v>
      </c>
      <c r="B53" s="163"/>
      <c r="C53" s="163"/>
      <c r="D53" s="163"/>
      <c r="E53" s="163"/>
      <c r="F53" s="164">
        <f>VLOOKUP(A53,ПТО!$A$2:$D$31,4,FALSE)</f>
        <v>15104.32</v>
      </c>
      <c r="G53" s="164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10"/>
      <c r="L53" s="187"/>
      <c r="M53" s="116"/>
      <c r="N53" s="110"/>
      <c r="O53" s="23" t="str">
        <f t="shared" si="1"/>
        <v xml:space="preserve">Монтаж системы видеонаблюдения. </v>
      </c>
      <c r="R53" s="22" t="s">
        <v>72</v>
      </c>
    </row>
    <row r="54" spans="1:18" ht="51" customHeight="1" outlineLevel="1">
      <c r="A54" s="163" t="str">
        <f>ПТО!A13</f>
        <v>Изготовление и монтаж металлического козырька над подъездом.</v>
      </c>
      <c r="B54" s="163"/>
      <c r="C54" s="163"/>
      <c r="D54" s="163"/>
      <c r="E54" s="163"/>
      <c r="F54" s="164">
        <f>VLOOKUP(A54,ПТО!$A$2:$D$31,4,FALSE)</f>
        <v>42645</v>
      </c>
      <c r="G54" s="164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10"/>
      <c r="L54" s="187"/>
      <c r="M54" s="116"/>
      <c r="N54" s="110"/>
      <c r="O54" s="23" t="str">
        <f t="shared" si="1"/>
        <v>Изготовление и монтаж металлического козырька над подъездом.</v>
      </c>
      <c r="R54" s="22" t="s">
        <v>72</v>
      </c>
    </row>
    <row r="55" spans="1:18" ht="51" customHeight="1" outlineLevel="1">
      <c r="A55" s="163" t="str">
        <f>ПТО!A14</f>
        <v>Замена шарового крана подачи на теплообменник ГВС.</v>
      </c>
      <c r="B55" s="163"/>
      <c r="C55" s="163"/>
      <c r="D55" s="163"/>
      <c r="E55" s="163"/>
      <c r="F55" s="164">
        <f>VLOOKUP(A55,ПТО!$A$2:$D$31,4,FALSE)</f>
        <v>678.93</v>
      </c>
      <c r="G55" s="164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10"/>
      <c r="L55" s="187"/>
      <c r="M55" s="116"/>
      <c r="N55" s="110"/>
      <c r="O55" s="23" t="str">
        <f t="shared" si="1"/>
        <v>Замена шарового крана подачи на теплообменник ГВС.</v>
      </c>
      <c r="R55" s="22" t="s">
        <v>72</v>
      </c>
    </row>
    <row r="56" spans="1:18" ht="51" customHeight="1" outlineLevel="1">
      <c r="A56" s="163" t="str">
        <f>ПТО!A15</f>
        <v>Диагностика неисправностей системы видеонаблюдения.</v>
      </c>
      <c r="B56" s="163"/>
      <c r="C56" s="163"/>
      <c r="D56" s="163"/>
      <c r="E56" s="163"/>
      <c r="F56" s="164">
        <f>VLOOKUP(A56,ПТО!$A$2:$D$31,4,FALSE)</f>
        <v>1500</v>
      </c>
      <c r="G56" s="164"/>
      <c r="H56" s="25" t="str">
        <f>VLOOKUP(A56,ПТО!$A$2:$D$31,2,FALSE)</f>
        <v>разово</v>
      </c>
      <c r="I56" s="165">
        <f>VLOOKUP(A56,ПТО!$A$2:$D$31,3,FALSE)</f>
        <v>1</v>
      </c>
      <c r="J56" s="165"/>
      <c r="K56" s="110"/>
      <c r="L56" s="187"/>
      <c r="M56" s="116"/>
      <c r="N56" s="110"/>
      <c r="O56" s="23" t="str">
        <f t="shared" si="1"/>
        <v>Диагностика неисправностей системы видеонаблюдения.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4" t="e">
        <f>VLOOKUP(A57,ПТО!$A$2:$D$31,4,FALSE)</f>
        <v>#N/A</v>
      </c>
      <c r="G57" s="164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10"/>
      <c r="L57" s="187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10"/>
      <c r="L58" s="187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10"/>
      <c r="L59" s="187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10"/>
      <c r="L60" s="187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10"/>
      <c r="L61" s="187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10"/>
      <c r="L62" s="187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10"/>
      <c r="L63" s="187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10"/>
      <c r="L64" s="187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10"/>
      <c r="L65" s="187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10"/>
      <c r="L66" s="187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10"/>
      <c r="L67" s="187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10"/>
      <c r="L68" s="187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10"/>
      <c r="L69" s="187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10"/>
      <c r="L70" s="187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10"/>
      <c r="L72" s="187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10"/>
      <c r="L75" s="170"/>
      <c r="M75" s="110"/>
      <c r="N75" s="110"/>
      <c r="O75" s="71" t="s">
        <v>100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10"/>
      <c r="L76" s="170"/>
      <c r="M76" s="110"/>
      <c r="N76" s="110"/>
      <c r="O76" s="71" t="s">
        <v>101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10"/>
      <c r="L77" s="170"/>
      <c r="M77" s="110"/>
      <c r="N77" s="110"/>
      <c r="O77" s="71" t="s">
        <v>102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8">
        <f>VLOOKUP(O78,АО,3,FALSE)</f>
        <v>0</v>
      </c>
      <c r="K78" s="110"/>
      <c r="L78" s="170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8">
        <f t="shared" ref="J81:J90" si="2">VLOOKUP(O81,АО,3,FALSE)</f>
        <v>0</v>
      </c>
      <c r="K81" s="110"/>
      <c r="L81" s="188"/>
      <c r="M81" s="110"/>
      <c r="N81" s="110"/>
      <c r="O81" s="71" t="s">
        <v>104</v>
      </c>
    </row>
    <row r="82" spans="1:15" outlineLevel="1">
      <c r="A82" s="171" t="s">
        <v>3</v>
      </c>
      <c r="B82" s="171"/>
      <c r="C82" s="171"/>
      <c r="D82" s="171"/>
      <c r="E82" s="171"/>
      <c r="F82" s="171"/>
      <c r="G82" s="171"/>
      <c r="H82" s="171"/>
      <c r="I82" s="171"/>
      <c r="J82" s="98">
        <f t="shared" si="2"/>
        <v>0</v>
      </c>
      <c r="K82" s="110"/>
      <c r="L82" s="188"/>
      <c r="M82" s="110"/>
      <c r="N82" s="110"/>
      <c r="O82" s="71" t="s">
        <v>105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8">
        <f t="shared" si="2"/>
        <v>678431.64</v>
      </c>
      <c r="K83" s="110"/>
      <c r="L83" s="188"/>
      <c r="M83" s="110"/>
      <c r="N83" s="110"/>
      <c r="O83" s="71" t="s">
        <v>106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8">
        <f t="shared" si="2"/>
        <v>0</v>
      </c>
      <c r="K84" s="110"/>
      <c r="L84" s="188"/>
      <c r="M84" s="110"/>
      <c r="N84" s="110"/>
      <c r="O84" s="71" t="s">
        <v>107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8">
        <f t="shared" si="2"/>
        <v>0</v>
      </c>
      <c r="K85" s="110"/>
      <c r="L85" s="188"/>
      <c r="M85" s="110"/>
      <c r="N85" s="110"/>
      <c r="O85" s="71" t="s">
        <v>108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8">
        <f t="shared" si="2"/>
        <v>938820.43</v>
      </c>
      <c r="K86" s="110"/>
      <c r="L86" s="188"/>
      <c r="M86" s="110"/>
      <c r="N86" s="110"/>
      <c r="O86" s="71" t="s">
        <v>109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10"/>
      <c r="L87" s="188"/>
      <c r="M87" s="110"/>
      <c r="N87" s="110"/>
      <c r="O87" s="71" t="s">
        <v>110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10"/>
      <c r="L88" s="188"/>
      <c r="M88" s="110"/>
      <c r="N88" s="110"/>
      <c r="O88" s="71" t="s">
        <v>111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10"/>
      <c r="L89" s="188"/>
      <c r="M89" s="110"/>
      <c r="N89" s="110"/>
      <c r="O89" s="71" t="s">
        <v>112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8">
        <f t="shared" si="2"/>
        <v>0</v>
      </c>
      <c r="K90" s="110"/>
      <c r="L90" s="188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2" t="s">
        <v>48</v>
      </c>
      <c r="B93" s="172"/>
      <c r="C93" s="172"/>
      <c r="D93" s="175" t="s">
        <v>49</v>
      </c>
      <c r="E93" s="175"/>
      <c r="F93" s="10" t="s">
        <v>50</v>
      </c>
      <c r="G93" s="172" t="s">
        <v>51</v>
      </c>
      <c r="H93" s="172"/>
      <c r="I93" s="172"/>
      <c r="J93" s="172"/>
      <c r="K93" s="110"/>
      <c r="L93" s="110"/>
      <c r="M93" s="110"/>
      <c r="N93" s="110"/>
    </row>
    <row r="94" spans="1:15" outlineLevel="1">
      <c r="A94" s="176" t="str">
        <f>IF(VLOOKUP("эл",АО,3,FALSE)&gt;0,"Электроснабжение",0)</f>
        <v>Электроснабжение</v>
      </c>
      <c r="B94" s="176"/>
      <c r="C94" s="176"/>
      <c r="D94" s="174" t="str">
        <f>IF(VLOOKUP("эл",АО,3,FALSE)&gt;0,VLOOKUP("эл",АО,3,FALSE),0)</f>
        <v>Предоставляется</v>
      </c>
      <c r="E94" s="174"/>
      <c r="F94" s="13" t="str">
        <f>IF(VLOOKUP("эл",АО,3,FALSE)&gt;0,VLOOKUP("эл",АО,4,FALSE),0)</f>
        <v>кВт*ч</v>
      </c>
      <c r="G94" s="173">
        <f>VLOOKUP("эл",АО,5,FALSE)</f>
        <v>49347.920000000006</v>
      </c>
      <c r="H94" s="174"/>
      <c r="I94" s="174"/>
      <c r="J94" s="174"/>
      <c r="K94" s="1" t="str">
        <f>VLOOKUP("эл",АО,2,FALSE)</f>
        <v>Электроснабжение</v>
      </c>
      <c r="L94" s="189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43287.649122807023</v>
      </c>
      <c r="L95" s="189"/>
      <c r="O95" s="1" t="s">
        <v>114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48136.509999999995</v>
      </c>
      <c r="L96" s="189"/>
      <c r="O96" s="1" t="s">
        <v>115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1211.4100000000108</v>
      </c>
      <c r="L97" s="189"/>
      <c r="O97" s="1" t="s">
        <v>116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49347.920000000006</v>
      </c>
      <c r="L98" s="189"/>
      <c r="O98" s="1" t="s">
        <v>117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49347.920000000006</v>
      </c>
      <c r="L99" s="189"/>
      <c r="O99" s="1" t="s">
        <v>118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119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89"/>
      <c r="O101" s="1" t="s">
        <v>120</v>
      </c>
    </row>
    <row r="102" spans="1:15" ht="28.5" customHeight="1" outlineLevel="1">
      <c r="A102" s="176" t="str">
        <f>IF(VLOOKUP("хвс",АО,3,FALSE)&gt;0,"Холодное водоснабжение",0)</f>
        <v>Холодное водоснабжение</v>
      </c>
      <c r="B102" s="176"/>
      <c r="C102" s="176"/>
      <c r="D102" s="174" t="str">
        <f>IF(VLOOKUP("хвс",АО,3,FALSE)&gt;0,VLOOKUP("хвс",АО,3,FALSE),0)</f>
        <v>Предоставляется</v>
      </c>
      <c r="E102" s="174"/>
      <c r="F102" s="13" t="str">
        <f>IF(VLOOKUP("хвс",АО,3,FALSE)&gt;0,VLOOKUP("хвс",АО,4,FALSE),0)</f>
        <v>куб.м.</v>
      </c>
      <c r="G102" s="173">
        <f>VLOOKUP("хвс",АО,5,FALSE)</f>
        <v>183018.83000000002</v>
      </c>
      <c r="H102" s="174"/>
      <c r="I102" s="174"/>
      <c r="J102" s="174"/>
      <c r="L102" s="189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13526.890613451591</v>
      </c>
      <c r="L103" s="189"/>
      <c r="O103" s="1" t="s">
        <v>123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146325.72</v>
      </c>
      <c r="L104" s="189"/>
      <c r="O104" s="1" t="s">
        <v>124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36693.110000000015</v>
      </c>
      <c r="L105" s="189"/>
      <c r="O105" s="1" t="s">
        <v>125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183018.83000000002</v>
      </c>
      <c r="L106" s="189"/>
      <c r="O106" s="1" t="s">
        <v>126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183018.83000000002</v>
      </c>
      <c r="L107" s="189"/>
      <c r="O107" s="1" t="s">
        <v>127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128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89"/>
      <c r="O109" s="1" t="s">
        <v>129</v>
      </c>
    </row>
    <row r="110" spans="1:15" ht="27" customHeight="1" outlineLevel="1">
      <c r="A110" s="176" t="str">
        <f>IF(VLOOKUP("воо",АО,3,FALSE)&gt;0,"Водоотведение",0)</f>
        <v>Водоотведение</v>
      </c>
      <c r="B110" s="176"/>
      <c r="C110" s="176"/>
      <c r="D110" s="174" t="str">
        <f>IF(VLOOKUP("воо",АО,3,FALSE)&gt;0,VLOOKUP("воо",АО,3,FALSE),0)</f>
        <v>Предоставляется</v>
      </c>
      <c r="E110" s="174"/>
      <c r="F110" s="13" t="str">
        <f>IF(VLOOKUP("воо",АО,3,FALSE)&gt;0,VLOOKUP("воо",АО,4,FALSE),0)</f>
        <v>куб.м.</v>
      </c>
      <c r="G110" s="173">
        <f>VLOOKUP("воо",АО,5,FALSE)</f>
        <v>210859.28000000006</v>
      </c>
      <c r="H110" s="174"/>
      <c r="I110" s="174"/>
      <c r="J110" s="174"/>
      <c r="L110" s="189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13665.539857420614</v>
      </c>
      <c r="L111" s="189"/>
      <c r="O111" s="1" t="s">
        <v>131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160913.18000000005</v>
      </c>
      <c r="L112" s="189"/>
      <c r="O112" s="1" t="s">
        <v>132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49946.100000000006</v>
      </c>
      <c r="L113" s="189"/>
      <c r="O113" s="1" t="s">
        <v>133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210859.28000000006</v>
      </c>
      <c r="L114" s="189"/>
      <c r="O114" s="1" t="s">
        <v>134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210859.28000000006</v>
      </c>
      <c r="L115" s="189"/>
      <c r="O115" s="1" t="s">
        <v>135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136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9"/>
      <c r="O117" s="1" t="s">
        <v>137</v>
      </c>
    </row>
    <row r="118" spans="1:15" ht="32.25" hidden="1" customHeight="1" outlineLevel="1">
      <c r="A118" s="176">
        <f>IF(VLOOKUP("тко",АО,3,FALSE)&gt;0,"Обращение с ТКО",0)</f>
        <v>0</v>
      </c>
      <c r="B118" s="176"/>
      <c r="C118" s="176"/>
      <c r="D118" s="174">
        <f>IF(VLOOKUP("тко",АО,3,FALSE)&gt;0,VLOOKUP("тко",АО,3,FALSE),0)</f>
        <v>0</v>
      </c>
      <c r="E118" s="174"/>
      <c r="F118" s="13">
        <f>IF(VLOOKUP("тко",АО,3,FALSE)&gt;0,VLOOKUP("тко",АО,4,FALSE),0)</f>
        <v>0</v>
      </c>
      <c r="G118" s="173">
        <f>VLOOKUP("тко",АО,5,FALSE)</f>
        <v>0</v>
      </c>
      <c r="H118" s="174"/>
      <c r="I118" s="174"/>
      <c r="J118" s="174"/>
      <c r="L118" s="48"/>
    </row>
    <row r="119" spans="1:15" ht="32.25" hidden="1" customHeight="1" outlineLevel="2">
      <c r="A119" s="171">
        <f t="shared" ref="A119:A125" si="8">IF(VLOOKUP("тко",АО,3,FALSE)&gt;0,VLOOKUP(O119,АО,2,FALSE),0)</f>
        <v>0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71">
        <f t="shared" si="8"/>
        <v>0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22381.139999999996</v>
      </c>
      <c r="L120" s="48"/>
      <c r="O120" s="1" t="s">
        <v>140</v>
      </c>
    </row>
    <row r="121" spans="1:15" ht="32.25" hidden="1" customHeight="1" outlineLevel="2">
      <c r="A121" s="171">
        <f t="shared" si="8"/>
        <v>0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71">
        <f t="shared" si="8"/>
        <v>0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71">
        <f t="shared" si="8"/>
        <v>0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71">
        <f t="shared" si="8"/>
        <v>0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71">
        <f t="shared" si="8"/>
        <v>0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8"/>
      <c r="O125" s="1" t="s">
        <v>145</v>
      </c>
    </row>
    <row r="126" spans="1:15" ht="32.25" customHeight="1" outlineLevel="1">
      <c r="A126" s="176" t="str">
        <f>IF(VLOOKUP("гвс",АО,3,FALSE)&gt;0,"Горячее водоснабжение",0)</f>
        <v>Горячее водоснабжение</v>
      </c>
      <c r="B126" s="176"/>
      <c r="C126" s="176"/>
      <c r="D126" s="174" t="str">
        <f>IF(VLOOKUP("гвс",АО,3,FALSE)&gt;0,VLOOKUP("гвс",АО,3,FALSE),0)</f>
        <v>Предоставляется</v>
      </c>
      <c r="E126" s="174"/>
      <c r="F126" s="13" t="str">
        <f>IF(VLOOKUP("гвс",АО,3,FALSE)&gt;0,VLOOKUP("гвс",АО,4,FALSE),0)</f>
        <v>куб.м.</v>
      </c>
      <c r="G126" s="173">
        <f>VLOOKUP("гвс",АО,5,FALSE)</f>
        <v>401966.78999999992</v>
      </c>
      <c r="H126" s="174"/>
      <c r="I126" s="174"/>
      <c r="J126" s="174"/>
      <c r="L126" s="48"/>
    </row>
    <row r="127" spans="1:15" ht="32.25" customHeight="1" outlineLevel="2">
      <c r="A127" s="171" t="str">
        <f t="shared" ref="A127:A133" si="10">IF(VLOOKUP("гвс",АО,3,FALSE)&gt;0,VLOOKUP(O127,АО,2,FALSE),0)</f>
        <v>Общий объем потребления, нат. показ.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5046.3567504050279</v>
      </c>
      <c r="L127" s="48"/>
      <c r="O127" s="1" t="s">
        <v>147</v>
      </c>
    </row>
    <row r="128" spans="1:15" ht="32.25" customHeight="1" outlineLevel="2">
      <c r="A128" s="171" t="str">
        <f t="shared" si="10"/>
        <v>Оплачено потребителями, руб.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279778.90000000008</v>
      </c>
      <c r="L128" s="48"/>
      <c r="O128" s="1" t="s">
        <v>148</v>
      </c>
    </row>
    <row r="129" spans="1:15" ht="32.25" customHeight="1" outlineLevel="2">
      <c r="A129" s="171" t="str">
        <f t="shared" si="10"/>
        <v>Задолженность потребителей, руб.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122187.88999999984</v>
      </c>
      <c r="L129" s="48"/>
      <c r="O129" s="1" t="s">
        <v>149</v>
      </c>
    </row>
    <row r="130" spans="1:15" ht="32.25" customHeight="1" outlineLevel="2">
      <c r="A130" s="171" t="str">
        <f t="shared" si="10"/>
        <v>Начислено поставщиком (поставщиками) коммунального ресурса, руб.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401966.78999999992</v>
      </c>
      <c r="L130" s="48"/>
      <c r="O130" s="1" t="s">
        <v>150</v>
      </c>
    </row>
    <row r="131" spans="1:15" ht="32.25" customHeight="1" outlineLevel="2">
      <c r="A131" s="171" t="str">
        <f t="shared" si="10"/>
        <v>Оплачено поставщику (поставщикам) коммунального ресурса, руб.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401966.78999999992</v>
      </c>
      <c r="L131" s="48"/>
      <c r="O131" s="1" t="s">
        <v>151</v>
      </c>
    </row>
    <row r="132" spans="1:15" ht="32.25" customHeight="1" outlineLevel="2">
      <c r="A132" s="171" t="str">
        <f t="shared" si="10"/>
        <v>Задолженность перед поставщиком (поставщиками) коммунального ресурса, руб.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8"/>
      <c r="O132" s="1" t="s">
        <v>152</v>
      </c>
    </row>
    <row r="133" spans="1:15" ht="32.25" customHeight="1" outlineLevel="2">
      <c r="A133" s="171" t="str">
        <f t="shared" si="10"/>
        <v>Размер пени и штрафов, уплаченных поставщику (поставщикам) коммунального ресурса, руб.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8"/>
      <c r="O133" s="1" t="s">
        <v>153</v>
      </c>
    </row>
    <row r="134" spans="1:15" ht="32.25" customHeight="1" outlineLevel="1">
      <c r="A134" s="176" t="str">
        <f>IF(VLOOKUP("отопление",АО,3,FALSE)&gt;0,"Отопление",0)</f>
        <v>Отопление</v>
      </c>
      <c r="B134" s="176"/>
      <c r="C134" s="176"/>
      <c r="D134" s="174" t="str">
        <f>IF(VLOOKUP("отопление",АО,3,FALSE)&gt;0,VLOOKUP("отопление",АО,3,FALSE),0)</f>
        <v>Предоставляется</v>
      </c>
      <c r="E134" s="174"/>
      <c r="F134" s="13" t="str">
        <f>IF(VLOOKUP("отопление",АО,3,FALSE)&gt;0,VLOOKUP("отопление",АО,4,FALSE),0)</f>
        <v>Гкал</v>
      </c>
      <c r="G134" s="173">
        <f>VLOOKUP("отопление",АО,5,FALSE)</f>
        <v>752928.74999999988</v>
      </c>
      <c r="H134" s="174"/>
      <c r="I134" s="174"/>
      <c r="J134" s="174"/>
      <c r="L134" s="48"/>
    </row>
    <row r="135" spans="1:15" ht="32.25" customHeight="1" outlineLevel="2">
      <c r="A135" s="171" t="str">
        <f t="shared" ref="A135:A141" si="12">IF(VLOOKUP("отопление",АО,3,FALSE)&gt;0,VLOOKUP(O135,АО,2,FALSE),0)</f>
        <v>Общий объем потребления, нат. показ.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526.59</v>
      </c>
      <c r="L135" s="48"/>
      <c r="O135" s="1" t="s">
        <v>155</v>
      </c>
    </row>
    <row r="136" spans="1:15" ht="32.25" customHeight="1" outlineLevel="2">
      <c r="A136" s="171" t="str">
        <f t="shared" si="12"/>
        <v>Оплачено потребителями, руб.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683029.37999999989</v>
      </c>
      <c r="L136" s="48"/>
      <c r="O136" s="1" t="s">
        <v>156</v>
      </c>
    </row>
    <row r="137" spans="1:15" ht="32.25" customHeight="1" outlineLevel="2">
      <c r="A137" s="171" t="str">
        <f t="shared" si="12"/>
        <v>Задолженность потребителей, руб.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69899.37</v>
      </c>
      <c r="L137" s="48"/>
      <c r="O137" s="1" t="s">
        <v>157</v>
      </c>
    </row>
    <row r="138" spans="1:15" ht="32.25" customHeight="1" outlineLevel="2">
      <c r="A138" s="171" t="str">
        <f t="shared" si="12"/>
        <v>Начислено поставщиком (поставщиками) коммунального ресурса, руб.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752928.74999999988</v>
      </c>
      <c r="L138" s="48"/>
      <c r="O138" s="1" t="s">
        <v>158</v>
      </c>
    </row>
    <row r="139" spans="1:15" ht="32.25" customHeight="1" outlineLevel="2">
      <c r="A139" s="171" t="str">
        <f t="shared" si="12"/>
        <v>Оплачено поставщику (поставщикам) коммунального ресурса, руб.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752928.74999999988</v>
      </c>
      <c r="L139" s="48"/>
      <c r="O139" s="1" t="s">
        <v>159</v>
      </c>
    </row>
    <row r="140" spans="1:15" ht="32.25" customHeight="1" outlineLevel="2">
      <c r="A140" s="171" t="str">
        <f t="shared" si="12"/>
        <v>Задолженность перед поставщиком (поставщиками) коммунального ресурса, руб.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8"/>
      <c r="O140" s="1" t="s">
        <v>160</v>
      </c>
    </row>
    <row r="141" spans="1:15" ht="32.25" customHeight="1" outlineLevel="2">
      <c r="A141" s="171" t="str">
        <f t="shared" si="12"/>
        <v>Размер пени и штрафов, уплаченных поставщику (поставщикам) коммунального ресурса, руб.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1</v>
      </c>
      <c r="O144" t="s">
        <v>171</v>
      </c>
    </row>
    <row r="145" spans="1:15" ht="18.75" customHeight="1" outlineLevel="1">
      <c r="A145" s="171" t="s">
        <v>46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17</v>
      </c>
      <c r="L145" s="15"/>
      <c r="O145" t="s">
        <v>172</v>
      </c>
    </row>
    <row r="146" spans="1:15" ht="30" customHeight="1" outlineLevel="1">
      <c r="A146" s="171" t="s">
        <v>174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852589.85</v>
      </c>
      <c r="O146" t="s">
        <v>173</v>
      </c>
    </row>
    <row r="149" spans="1:15" ht="52.5" customHeight="1">
      <c r="A149" s="167" t="s">
        <v>183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6" t="s">
        <v>184</v>
      </c>
      <c r="B154" s="166"/>
      <c r="C154" s="166"/>
      <c r="D154" s="166"/>
      <c r="E154" s="27">
        <f>ПТО!G1</f>
        <v>-148094.54999999999</v>
      </c>
    </row>
    <row r="155" spans="1:15" ht="34.5" customHeight="1">
      <c r="A155" s="168" t="s">
        <v>186</v>
      </c>
      <c r="B155" s="168"/>
      <c r="C155" s="168"/>
      <c r="D155" s="168"/>
      <c r="E155" s="28">
        <f>J13</f>
        <v>227610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3" t="str">
        <f t="shared" ref="A158:A163" si="14">IF(N158&gt;0,N158,0)</f>
        <v>Техническое освидетельствование лифта.</v>
      </c>
      <c r="B158" s="163"/>
      <c r="C158" s="163"/>
      <c r="D158" s="163"/>
      <c r="E158" s="163"/>
      <c r="F158" s="164">
        <f t="shared" ref="F158:F163" si="15">IF(ISERROR(VLOOKUP(A158,$A$28:$J$72,6,FALSE)),0,VLOOKUP(A158,$A$28:$J$72,6,FALSE))</f>
        <v>8100</v>
      </c>
      <c r="G158" s="164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1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3" t="str">
        <f t="shared" si="14"/>
        <v>Техническое обслуживание охранной сигнализации.</v>
      </c>
      <c r="B159" s="163"/>
      <c r="C159" s="163"/>
      <c r="D159" s="163"/>
      <c r="E159" s="163"/>
      <c r="F159" s="164">
        <f t="shared" si="15"/>
        <v>6000</v>
      </c>
      <c r="G159" s="164"/>
      <c r="H159" s="24" t="str">
        <f t="shared" si="16"/>
        <v>ежемесячно</v>
      </c>
      <c r="I159" s="165">
        <f t="shared" si="17"/>
        <v>12</v>
      </c>
      <c r="J159" s="165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3" t="str">
        <f t="shared" si="14"/>
        <v>Приобретение искусственной ели, проведение новогоднего праздника.</v>
      </c>
      <c r="B160" s="163"/>
      <c r="C160" s="163"/>
      <c r="D160" s="163"/>
      <c r="E160" s="163"/>
      <c r="F160" s="164">
        <f t="shared" si="15"/>
        <v>4000</v>
      </c>
      <c r="G160" s="164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Приобретение искусственной ели, проведение новогоднего праздника.</v>
      </c>
    </row>
    <row r="161" spans="1:14" ht="28.5" customHeight="1">
      <c r="A161" s="163" t="str">
        <f>IF(N161&gt;0,N161,0)</f>
        <v>Монтаж дополнительных камер системы видеонаблюдения.</v>
      </c>
      <c r="B161" s="163"/>
      <c r="C161" s="163"/>
      <c r="D161" s="163"/>
      <c r="E161" s="163"/>
      <c r="F161" s="164">
        <f t="shared" si="15"/>
        <v>68715</v>
      </c>
      <c r="G161" s="164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Монтаж дополнительных камер системы видеонаблюдения.</v>
      </c>
    </row>
    <row r="162" spans="1:14" ht="28.5" customHeight="1">
      <c r="A162" s="163" t="str">
        <f t="shared" si="14"/>
        <v>Приобретение и установка таблички по пожарной безопасности.</v>
      </c>
      <c r="B162" s="163"/>
      <c r="C162" s="163"/>
      <c r="D162" s="163"/>
      <c r="E162" s="163"/>
      <c r="F162" s="164">
        <f t="shared" si="15"/>
        <v>250</v>
      </c>
      <c r="G162" s="164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63" t="str">
        <f t="shared" si="14"/>
        <v>Замена прибора учета электрической энергии.</v>
      </c>
      <c r="B163" s="163"/>
      <c r="C163" s="163"/>
      <c r="D163" s="163"/>
      <c r="E163" s="163"/>
      <c r="F163" s="164">
        <f t="shared" si="15"/>
        <v>18705</v>
      </c>
      <c r="G163" s="164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Замена прибора учета электрической энергии.</v>
      </c>
    </row>
    <row r="164" spans="1:14" ht="28.5" customHeight="1">
      <c r="A164" s="163" t="str">
        <f t="shared" ref="A164:A187" si="18">IF(N164&gt;0,N164,0)</f>
        <v>Аварийная замена задвижки на стояке ГВС в ИТП.</v>
      </c>
      <c r="B164" s="163"/>
      <c r="C164" s="163"/>
      <c r="D164" s="163"/>
      <c r="E164" s="163"/>
      <c r="F164" s="164">
        <f t="shared" ref="F164:F187" si="19">IF(ISERROR(VLOOKUP(A164,$A$28:$J$72,6,FALSE)),0,VLOOKUP(A164,$A$28:$J$72,6,FALSE))</f>
        <v>750</v>
      </c>
      <c r="G164" s="164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Аварийная замена задвижки на стояке ГВС в ИТП.</v>
      </c>
    </row>
    <row r="165" spans="1:14" ht="28.5" customHeight="1">
      <c r="A165" s="163" t="str">
        <f t="shared" si="18"/>
        <v>Аварийный ремонт теплообменника ГВС в ИТП.</v>
      </c>
      <c r="B165" s="163"/>
      <c r="C165" s="163"/>
      <c r="D165" s="163"/>
      <c r="E165" s="163"/>
      <c r="F165" s="164">
        <f t="shared" si="19"/>
        <v>44238</v>
      </c>
      <c r="G165" s="164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Аварийный ремонт теплообменника ГВС в ИТП.</v>
      </c>
    </row>
    <row r="166" spans="1:14" ht="28.5" customHeight="1">
      <c r="A166" s="163" t="str">
        <f t="shared" si="18"/>
        <v>Замена вводного автомата в подъезде.</v>
      </c>
      <c r="B166" s="163"/>
      <c r="C166" s="163"/>
      <c r="D166" s="163"/>
      <c r="E166" s="163"/>
      <c r="F166" s="164">
        <f t="shared" si="19"/>
        <v>360</v>
      </c>
      <c r="G166" s="164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Замена вводного автомата в подъезде.</v>
      </c>
    </row>
    <row r="167" spans="1:14" ht="28.5" customHeight="1">
      <c r="A167" s="163" t="str">
        <f t="shared" si="18"/>
        <v>Изготовление и монтаж тамбурных дверей (2 шт.).</v>
      </c>
      <c r="B167" s="163"/>
      <c r="C167" s="163"/>
      <c r="D167" s="163"/>
      <c r="E167" s="163"/>
      <c r="F167" s="164">
        <f t="shared" si="19"/>
        <v>71506.259999999995</v>
      </c>
      <c r="G167" s="164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Изготовление и монтаж тамбурных дверей (2 шт.).</v>
      </c>
    </row>
    <row r="168" spans="1:14" ht="28.5" customHeight="1">
      <c r="A168" s="163" t="str">
        <f t="shared" si="18"/>
        <v xml:space="preserve">Монтаж системы видеонаблюдения. </v>
      </c>
      <c r="B168" s="163"/>
      <c r="C168" s="163"/>
      <c r="D168" s="163"/>
      <c r="E168" s="163"/>
      <c r="F168" s="164">
        <f t="shared" si="19"/>
        <v>15104.32</v>
      </c>
      <c r="G168" s="164"/>
      <c r="H168" s="29" t="str">
        <f t="shared" si="16"/>
        <v>разово</v>
      </c>
      <c r="I168" s="165">
        <f t="shared" si="20"/>
        <v>1</v>
      </c>
      <c r="J168" s="165"/>
      <c r="M168" s="22" t="s">
        <v>72</v>
      </c>
      <c r="N168" s="1" t="str">
        <v xml:space="preserve">Монтаж системы видеонаблюдения. </v>
      </c>
    </row>
    <row r="169" spans="1:14" ht="28.5" customHeight="1">
      <c r="A169" s="163" t="str">
        <f t="shared" si="18"/>
        <v>Изготовление и монтаж металлического козырька над подъездом.</v>
      </c>
      <c r="B169" s="163"/>
      <c r="C169" s="163"/>
      <c r="D169" s="163"/>
      <c r="E169" s="163"/>
      <c r="F169" s="164">
        <f t="shared" si="19"/>
        <v>42645</v>
      </c>
      <c r="G169" s="164"/>
      <c r="H169" s="29" t="str">
        <f t="shared" si="16"/>
        <v>разово</v>
      </c>
      <c r="I169" s="165">
        <f t="shared" si="20"/>
        <v>1</v>
      </c>
      <c r="J169" s="165"/>
      <c r="M169" s="22" t="s">
        <v>72</v>
      </c>
      <c r="N169" s="1" t="str">
        <v>Изготовление и монтаж металлического козырька над подъездом.</v>
      </c>
    </row>
    <row r="170" spans="1:14" ht="28.5" customHeight="1">
      <c r="A170" s="163" t="str">
        <f t="shared" si="18"/>
        <v>Замена шарового крана подачи на теплообменник ГВС.</v>
      </c>
      <c r="B170" s="163"/>
      <c r="C170" s="163"/>
      <c r="D170" s="163"/>
      <c r="E170" s="163"/>
      <c r="F170" s="164">
        <f t="shared" si="19"/>
        <v>678.93</v>
      </c>
      <c r="G170" s="164"/>
      <c r="H170" s="29" t="str">
        <f t="shared" si="16"/>
        <v>разово</v>
      </c>
      <c r="I170" s="165">
        <f t="shared" si="20"/>
        <v>1</v>
      </c>
      <c r="J170" s="165"/>
      <c r="M170" s="22" t="s">
        <v>72</v>
      </c>
      <c r="N170" s="1" t="str">
        <v>Замена шарового крана подачи на теплообменник ГВС.</v>
      </c>
    </row>
    <row r="171" spans="1:14" ht="28.5" customHeight="1">
      <c r="A171" s="163" t="str">
        <f t="shared" si="18"/>
        <v>Диагностика неисправностей системы видеонаблюдения.</v>
      </c>
      <c r="B171" s="163"/>
      <c r="C171" s="163"/>
      <c r="D171" s="163"/>
      <c r="E171" s="163"/>
      <c r="F171" s="164">
        <f t="shared" si="19"/>
        <v>1500</v>
      </c>
      <c r="G171" s="164"/>
      <c r="H171" s="29" t="str">
        <f t="shared" si="16"/>
        <v>разово</v>
      </c>
      <c r="I171" s="165">
        <f t="shared" si="20"/>
        <v>1</v>
      </c>
      <c r="J171" s="165"/>
      <c r="M171" s="22" t="s">
        <v>72</v>
      </c>
      <c r="N171" s="1" t="str">
        <v>Диагностика неисправностей системы видеонаблюдения.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4">
        <f t="shared" si="19"/>
        <v>0</v>
      </c>
      <c r="G172" s="164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4">
        <f t="shared" si="19"/>
        <v>0</v>
      </c>
      <c r="G173" s="164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4">
        <f t="shared" si="19"/>
        <v>0</v>
      </c>
      <c r="G174" s="164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4">
        <f t="shared" si="19"/>
        <v>0</v>
      </c>
      <c r="G175" s="164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4">
        <f t="shared" si="19"/>
        <v>0</v>
      </c>
      <c r="G176" s="164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4">
        <f t="shared" si="19"/>
        <v>0</v>
      </c>
      <c r="G177" s="164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4">
        <f t="shared" si="19"/>
        <v>0</v>
      </c>
      <c r="G178" s="164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4">
        <f t="shared" si="19"/>
        <v>0</v>
      </c>
      <c r="G179" s="164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4">
        <f t="shared" si="19"/>
        <v>0</v>
      </c>
      <c r="G180" s="164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4">
        <f t="shared" si="19"/>
        <v>0</v>
      </c>
      <c r="G181" s="164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4">
        <f t="shared" si="19"/>
        <v>0</v>
      </c>
      <c r="G182" s="164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4">
        <f t="shared" si="19"/>
        <v>0</v>
      </c>
      <c r="G183" s="164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4">
        <f t="shared" si="19"/>
        <v>0</v>
      </c>
      <c r="G184" s="164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4">
        <f t="shared" si="19"/>
        <v>0</v>
      </c>
      <c r="G185" s="164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4">
        <f t="shared" si="19"/>
        <v>0</v>
      </c>
      <c r="G186" s="164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4">
        <f t="shared" si="19"/>
        <v>0</v>
      </c>
      <c r="G187" s="164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66" t="s">
        <v>187</v>
      </c>
      <c r="B190" s="166"/>
      <c r="C190" s="166"/>
      <c r="D190" s="166"/>
      <c r="E190" s="27">
        <f>SUM(F158:G187)</f>
        <v>282552.51</v>
      </c>
    </row>
    <row r="191" spans="1:14" ht="51.75" customHeight="1">
      <c r="A191" s="166" t="s">
        <v>188</v>
      </c>
      <c r="B191" s="166"/>
      <c r="C191" s="166"/>
      <c r="D191" s="166"/>
      <c r="E191" s="27">
        <f>E190+E154-E155</f>
        <v>-93152.039999999979</v>
      </c>
    </row>
    <row r="192" spans="1:14">
      <c r="A192" s="105" t="s">
        <v>175</v>
      </c>
    </row>
    <row r="193" spans="1:10" ht="62.25" customHeight="1">
      <c r="A193" s="191" t="s">
        <v>185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50">
        <f>ПТО!G12</f>
        <v>1200</v>
      </c>
      <c r="I194" s="51" t="s">
        <v>75</v>
      </c>
    </row>
    <row r="195" spans="1:10" ht="18.75" customHeight="1">
      <c r="A195" s="190" t="str">
        <f>ПТО!F13</f>
        <v xml:space="preserve">  -  техническое освидетельствование лифта</v>
      </c>
      <c r="B195" s="190"/>
      <c r="C195" s="190"/>
      <c r="D195" s="190"/>
      <c r="E195" s="190"/>
      <c r="F195" s="190"/>
      <c r="G195" s="190"/>
      <c r="H195" s="50">
        <f>ПТО!G13</f>
        <v>8100</v>
      </c>
      <c r="I195" s="51" t="s">
        <v>75</v>
      </c>
    </row>
    <row r="196" spans="1:10" ht="18.75" customHeight="1">
      <c r="A196" s="190" t="str">
        <f>ПТО!F14</f>
        <v xml:space="preserve">  -  техническое обслуживание охранной сигнализации</v>
      </c>
      <c r="B196" s="190"/>
      <c r="C196" s="190"/>
      <c r="D196" s="190"/>
      <c r="E196" s="190"/>
      <c r="F196" s="190"/>
      <c r="G196" s="190"/>
      <c r="H196" s="50">
        <f>ПТО!G14</f>
        <v>6000</v>
      </c>
      <c r="I196" s="51" t="s">
        <v>75</v>
      </c>
    </row>
    <row r="197" spans="1:10" ht="18.75" customHeight="1">
      <c r="A197" s="190" t="str">
        <f>ПТО!F15</f>
        <v xml:space="preserve">  -  ремонт подъезда</v>
      </c>
      <c r="B197" s="190"/>
      <c r="C197" s="190"/>
      <c r="D197" s="190"/>
      <c r="E197" s="190"/>
      <c r="F197" s="190"/>
      <c r="G197" s="190"/>
      <c r="H197" s="50">
        <f>ПТО!G15</f>
        <v>400000</v>
      </c>
      <c r="I197" s="51" t="s">
        <v>75</v>
      </c>
    </row>
    <row r="198" spans="1:10" ht="18.75" customHeight="1">
      <c r="A198" s="190" t="str">
        <f>ПТО!F16</f>
        <v xml:space="preserve">  -  установка газонного ограждения</v>
      </c>
      <c r="B198" s="190"/>
      <c r="C198" s="190"/>
      <c r="D198" s="190"/>
      <c r="E198" s="190"/>
      <c r="F198" s="190"/>
      <c r="G198" s="190"/>
      <c r="H198" s="50">
        <f>ПТО!G16</f>
        <v>70000</v>
      </c>
      <c r="I198" s="53" t="s">
        <v>75</v>
      </c>
    </row>
    <row r="199" spans="1:10" ht="18.75" hidden="1" customHeight="1">
      <c r="A199" s="190">
        <f>ПТО!F17</f>
        <v>0</v>
      </c>
      <c r="B199" s="190"/>
      <c r="C199" s="190"/>
      <c r="D199" s="190"/>
      <c r="E199" s="190"/>
      <c r="F199" s="190"/>
      <c r="G199" s="190"/>
      <c r="H199" s="50">
        <f>ПТО!G17</f>
        <v>0</v>
      </c>
      <c r="I199" s="51" t="s">
        <v>75</v>
      </c>
    </row>
    <row r="200" spans="1:10" hidden="1">
      <c r="A200" s="190">
        <f>ПТО!F18</f>
        <v>0</v>
      </c>
      <c r="B200" s="190"/>
      <c r="C200" s="190"/>
      <c r="D200" s="190"/>
      <c r="E200" s="190"/>
      <c r="F200" s="190"/>
      <c r="G200" s="190"/>
      <c r="H200" s="50">
        <f>ПТО!G18</f>
        <v>0</v>
      </c>
      <c r="I200" s="51" t="s">
        <v>75</v>
      </c>
    </row>
    <row r="201" spans="1:10" hidden="1">
      <c r="A201" s="190">
        <f>ПТО!F19</f>
        <v>0</v>
      </c>
      <c r="B201" s="190"/>
      <c r="C201" s="190"/>
      <c r="D201" s="190"/>
      <c r="E201" s="190"/>
      <c r="F201" s="190"/>
      <c r="G201" s="190"/>
      <c r="H201" s="50">
        <f>ПТО!G19</f>
        <v>0</v>
      </c>
      <c r="I201" s="51" t="s">
        <v>75</v>
      </c>
    </row>
    <row r="202" spans="1:10" hidden="1">
      <c r="A202" s="190">
        <f>ПТО!F20</f>
        <v>0</v>
      </c>
      <c r="B202" s="190"/>
      <c r="C202" s="190"/>
      <c r="D202" s="190"/>
      <c r="E202" s="190"/>
      <c r="F202" s="190"/>
      <c r="G202" s="190"/>
      <c r="H202" s="50">
        <f>ПТО!G20</f>
        <v>0</v>
      </c>
      <c r="I202" s="51" t="s">
        <v>75</v>
      </c>
    </row>
    <row r="203" spans="1:10" hidden="1">
      <c r="A203" s="190">
        <f>ПТО!F21</f>
        <v>0</v>
      </c>
      <c r="B203" s="190"/>
      <c r="C203" s="190"/>
      <c r="D203" s="190"/>
      <c r="E203" s="190"/>
      <c r="F203" s="190"/>
      <c r="G203" s="190"/>
      <c r="H203" s="50">
        <f>ПТО!G21</f>
        <v>0</v>
      </c>
      <c r="I203" s="51" t="s">
        <v>75</v>
      </c>
    </row>
    <row r="204" spans="1:10" hidden="1">
      <c r="A204" s="190">
        <f>ПТО!F22</f>
        <v>0</v>
      </c>
      <c r="B204" s="190"/>
      <c r="C204" s="190"/>
      <c r="D204" s="190"/>
      <c r="E204" s="190"/>
      <c r="F204" s="190"/>
      <c r="G204" s="190"/>
      <c r="H204" s="50">
        <f>ПТО!G22</f>
        <v>0</v>
      </c>
      <c r="I204" s="51" t="s">
        <v>75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50">
        <f>ПТО!G23</f>
        <v>0</v>
      </c>
      <c r="I205" s="51" t="s">
        <v>75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50">
        <f>ПТО!G24</f>
        <v>0</v>
      </c>
      <c r="I206" s="51" t="s">
        <v>75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50">
        <f>ПТО!G25</f>
        <v>0</v>
      </c>
      <c r="I207" s="51" t="s">
        <v>75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50">
        <f>ПТО!G26</f>
        <v>0</v>
      </c>
      <c r="I208" s="51" t="s">
        <v>75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50">
        <f>ПТО!G27</f>
        <v>0</v>
      </c>
      <c r="I209" s="51" t="s">
        <v>75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50">
        <f>ПТО!G28</f>
        <v>0</v>
      </c>
      <c r="I210" s="51" t="s">
        <v>75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50">
        <f>ПТО!G29</f>
        <v>0</v>
      </c>
      <c r="I211" s="51" t="s">
        <v>75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50">
        <f>ПТО!G30</f>
        <v>0</v>
      </c>
      <c r="I212" s="51" t="s">
        <v>75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485300</v>
      </c>
      <c r="I214" s="57" t="s">
        <v>78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6" sqref="A16:E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184</v>
      </c>
      <c r="G1" s="102">
        <f>-148094.55</f>
        <v>-148094.54999999999</v>
      </c>
    </row>
    <row r="2" spans="1:12" ht="18.75" customHeight="1">
      <c r="A2" s="121" t="s">
        <v>73</v>
      </c>
      <c r="B2" s="119" t="s">
        <v>179</v>
      </c>
      <c r="C2" s="119">
        <v>1</v>
      </c>
      <c r="D2" s="118">
        <v>8100</v>
      </c>
      <c r="E2" s="161" t="s">
        <v>215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178</v>
      </c>
      <c r="B3" s="119" t="s">
        <v>180</v>
      </c>
      <c r="C3" s="119">
        <v>12</v>
      </c>
      <c r="D3" s="118">
        <v>6000</v>
      </c>
      <c r="E3" s="161" t="s">
        <v>216</v>
      </c>
      <c r="F3" s="30"/>
      <c r="G3" s="30"/>
      <c r="L3" s="33" t="str">
        <f t="shared" si="0"/>
        <v>ТР</v>
      </c>
    </row>
    <row r="4" spans="1:12" ht="18.75" customHeight="1">
      <c r="A4" s="45" t="s">
        <v>192</v>
      </c>
      <c r="B4" s="127" t="s">
        <v>190</v>
      </c>
      <c r="C4" s="43">
        <v>1</v>
      </c>
      <c r="D4" s="44">
        <v>4000</v>
      </c>
      <c r="E4" s="45" t="s">
        <v>193</v>
      </c>
      <c r="F4" s="30"/>
      <c r="G4" s="30"/>
      <c r="L4" s="33" t="str">
        <f t="shared" si="0"/>
        <v>ТР</v>
      </c>
    </row>
    <row r="5" spans="1:12" ht="18.75" customHeight="1">
      <c r="A5" s="122" t="s">
        <v>191</v>
      </c>
      <c r="B5" s="128" t="s">
        <v>190</v>
      </c>
      <c r="C5" s="120">
        <v>1</v>
      </c>
      <c r="D5" s="129">
        <v>68715</v>
      </c>
      <c r="E5" s="123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0" t="s">
        <v>195</v>
      </c>
      <c r="B6" s="131" t="s">
        <v>190</v>
      </c>
      <c r="C6" s="132">
        <v>1</v>
      </c>
      <c r="D6" s="133">
        <v>250</v>
      </c>
      <c r="E6" s="134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199</v>
      </c>
      <c r="B7" s="135" t="s">
        <v>190</v>
      </c>
      <c r="C7" s="136">
        <v>1</v>
      </c>
      <c r="D7" s="137">
        <v>18705</v>
      </c>
      <c r="E7" s="123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200</v>
      </c>
      <c r="B8" s="139" t="s">
        <v>190</v>
      </c>
      <c r="C8" s="119">
        <v>1</v>
      </c>
      <c r="D8" s="118">
        <v>750</v>
      </c>
      <c r="E8" s="141" t="s">
        <v>201</v>
      </c>
      <c r="F8" s="46"/>
      <c r="G8" s="46"/>
      <c r="K8" s="44"/>
      <c r="L8" s="33" t="str">
        <f t="shared" si="0"/>
        <v>ТР</v>
      </c>
    </row>
    <row r="9" spans="1:12">
      <c r="A9" s="146" t="s">
        <v>207</v>
      </c>
      <c r="B9" s="139" t="s">
        <v>190</v>
      </c>
      <c r="C9" s="119">
        <v>1</v>
      </c>
      <c r="D9" s="118">
        <v>44238</v>
      </c>
      <c r="E9" s="147" t="s">
        <v>208</v>
      </c>
      <c r="F9" s="45"/>
      <c r="G9" s="45"/>
      <c r="K9" s="44"/>
      <c r="L9" s="33" t="str">
        <f t="shared" si="0"/>
        <v>ТР</v>
      </c>
    </row>
    <row r="10" spans="1:12">
      <c r="A10" s="142" t="s">
        <v>204</v>
      </c>
      <c r="B10" s="139" t="s">
        <v>190</v>
      </c>
      <c r="C10" s="119">
        <v>1</v>
      </c>
      <c r="D10" s="118">
        <v>360</v>
      </c>
      <c r="E10" s="143" t="s">
        <v>205</v>
      </c>
      <c r="L10" s="33" t="str">
        <f t="shared" si="0"/>
        <v>ТР</v>
      </c>
    </row>
    <row r="11" spans="1:12" ht="94.5">
      <c r="A11" s="144" t="s">
        <v>198</v>
      </c>
      <c r="B11" s="145" t="s">
        <v>190</v>
      </c>
      <c r="C11" s="43">
        <v>1</v>
      </c>
      <c r="D11" s="44">
        <v>71506.259999999995</v>
      </c>
      <c r="E11" s="123" t="s">
        <v>206</v>
      </c>
      <c r="F11" s="112" t="s">
        <v>185</v>
      </c>
      <c r="G11" s="112"/>
      <c r="L11" s="33" t="str">
        <f t="shared" si="0"/>
        <v>ТР</v>
      </c>
    </row>
    <row r="12" spans="1:12" ht="31.5">
      <c r="A12" s="148" t="s">
        <v>203</v>
      </c>
      <c r="B12" s="149" t="s">
        <v>190</v>
      </c>
      <c r="C12" s="150">
        <v>1</v>
      </c>
      <c r="D12" s="151">
        <v>15104.32</v>
      </c>
      <c r="E12" s="151" t="s">
        <v>209</v>
      </c>
      <c r="F12" s="113" t="s">
        <v>74</v>
      </c>
      <c r="G12" s="114">
        <v>1200</v>
      </c>
      <c r="L12" s="33" t="str">
        <f t="shared" si="0"/>
        <v>ТР</v>
      </c>
    </row>
    <row r="13" spans="1:12" ht="31.5">
      <c r="A13" s="152" t="s">
        <v>189</v>
      </c>
      <c r="B13" s="139" t="s">
        <v>190</v>
      </c>
      <c r="C13" s="119">
        <v>1</v>
      </c>
      <c r="D13" s="118">
        <v>42645</v>
      </c>
      <c r="E13" s="153" t="s">
        <v>210</v>
      </c>
      <c r="F13" s="113" t="s">
        <v>76</v>
      </c>
      <c r="G13" s="114">
        <v>8100</v>
      </c>
      <c r="L13" s="33" t="str">
        <f t="shared" si="0"/>
        <v>ТР</v>
      </c>
    </row>
    <row r="14" spans="1:12" ht="31.5">
      <c r="A14" s="154" t="s">
        <v>202</v>
      </c>
      <c r="B14" s="155" t="s">
        <v>190</v>
      </c>
      <c r="C14" s="150">
        <v>1</v>
      </c>
      <c r="D14" s="156">
        <v>678.93</v>
      </c>
      <c r="E14" s="151" t="s">
        <v>211</v>
      </c>
      <c r="F14" s="113" t="s">
        <v>182</v>
      </c>
      <c r="G14" s="114">
        <v>6000</v>
      </c>
      <c r="L14" s="33" t="str">
        <f t="shared" si="0"/>
        <v>ТР</v>
      </c>
    </row>
    <row r="15" spans="1:12" ht="15.75">
      <c r="A15" s="157" t="s">
        <v>212</v>
      </c>
      <c r="B15" s="158" t="s">
        <v>190</v>
      </c>
      <c r="C15" s="159">
        <v>1</v>
      </c>
      <c r="D15" s="160">
        <v>1500</v>
      </c>
      <c r="E15" s="151" t="s">
        <v>213</v>
      </c>
      <c r="F15" s="125" t="s">
        <v>217</v>
      </c>
      <c r="G15" s="126">
        <v>400000</v>
      </c>
      <c r="L15" s="33" t="str">
        <f t="shared" si="0"/>
        <v>ТР</v>
      </c>
    </row>
    <row r="16" spans="1:12" ht="15.75">
      <c r="A16" s="45"/>
      <c r="B16" s="162"/>
      <c r="C16" s="43"/>
      <c r="D16" s="44"/>
      <c r="E16" s="45"/>
      <c r="F16" s="125" t="s">
        <v>218</v>
      </c>
      <c r="G16" s="126">
        <v>70000</v>
      </c>
      <c r="L16" s="33">
        <f t="shared" si="0"/>
        <v>0</v>
      </c>
    </row>
    <row r="17" spans="1:12" ht="15.75">
      <c r="A17" s="30"/>
      <c r="F17" s="125"/>
      <c r="G17" s="126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258136.92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258136.92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67834.92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67834.92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76940.28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76940.28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54632.160000000003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54632.160000000003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21852.84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21852.84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112451.16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112451.16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214</v>
      </c>
      <c r="B46" s="38">
        <v>182107.2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182107.2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mAwggADXtTjvjO5hAWp3+QDUf7NoyYWX9e0ltqnJ3bTLjiZSp2NdZ29gGScK7eJ405+M4sqij9NfrPD7LAuk3A==" saltValue="JA7eSoToVu91KMSGjja+A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3793.5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403975.03999999992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1050249.51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629640.34000000008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F1*5*12</f>
        <v>227610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192999.16999999998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992623.2699999999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992623.2699999999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992623.2699999999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461601.27999999991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4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4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4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4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3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3"/>
      <c r="N26" s="64"/>
    </row>
    <row r="27" spans="1:15" ht="18.75" customHeight="1">
      <c r="A27" s="71" t="s">
        <v>106</v>
      </c>
      <c r="B27" s="76" t="s">
        <v>4</v>
      </c>
      <c r="C27" s="87">
        <v>678431.64</v>
      </c>
      <c r="D27" s="82" t="s">
        <v>60</v>
      </c>
      <c r="E27" s="65"/>
      <c r="F27" s="65"/>
      <c r="G27" s="65"/>
      <c r="H27" s="65"/>
      <c r="I27" s="65"/>
      <c r="J27" s="65"/>
      <c r="M27" s="193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3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3"/>
      <c r="N29" s="64"/>
    </row>
    <row r="30" spans="1:15" ht="18.75" customHeight="1">
      <c r="A30" s="71" t="s">
        <v>109</v>
      </c>
      <c r="B30" s="76" t="s">
        <v>18</v>
      </c>
      <c r="C30" s="87">
        <v>938820.43</v>
      </c>
      <c r="D30" s="82" t="s">
        <v>66</v>
      </c>
      <c r="E30" s="65"/>
      <c r="F30" s="65"/>
      <c r="G30" s="65"/>
      <c r="H30" s="65"/>
      <c r="I30" s="65"/>
      <c r="J30" s="65"/>
      <c r="M30" s="193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3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3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3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3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49347.920000000006</v>
      </c>
      <c r="F37" s="95" t="s">
        <v>168</v>
      </c>
      <c r="G37" s="67"/>
      <c r="H37" s="67"/>
      <c r="I37" s="67"/>
      <c r="L37" s="64"/>
      <c r="M37" s="192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43287.649122807023</v>
      </c>
      <c r="D38" s="95" t="s">
        <v>166</v>
      </c>
      <c r="E38" s="69"/>
      <c r="G38" s="68"/>
      <c r="H38" s="68"/>
      <c r="L38" s="64"/>
      <c r="M38" s="192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48136.509999999995</v>
      </c>
      <c r="D39" s="95" t="s">
        <v>167</v>
      </c>
      <c r="E39" s="69"/>
      <c r="G39" s="68"/>
      <c r="H39" s="68"/>
      <c r="L39" s="64"/>
      <c r="M39" s="192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1211.4100000000108</v>
      </c>
      <c r="D40" s="81" t="s">
        <v>59</v>
      </c>
      <c r="E40" s="69"/>
      <c r="G40" s="68"/>
      <c r="H40" s="68"/>
      <c r="L40" s="64"/>
      <c r="M40" s="192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49347.920000000006</v>
      </c>
      <c r="D41" s="81" t="s">
        <v>59</v>
      </c>
      <c r="E41" s="69"/>
      <c r="G41" s="68"/>
      <c r="H41" s="68"/>
      <c r="L41" s="64"/>
      <c r="M41" s="192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49347.920000000006</v>
      </c>
      <c r="D42" s="81" t="s">
        <v>59</v>
      </c>
      <c r="E42" s="69"/>
      <c r="G42" s="68"/>
      <c r="H42" s="68"/>
      <c r="L42" s="64"/>
      <c r="M42" s="192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2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2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183018.83000000002</v>
      </c>
      <c r="F45" s="95" t="s">
        <v>168</v>
      </c>
      <c r="G45" s="67"/>
      <c r="H45" s="67"/>
      <c r="L45" s="64"/>
      <c r="M45" s="192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13526.890613451591</v>
      </c>
      <c r="D46" s="95" t="s">
        <v>169</v>
      </c>
      <c r="E46" s="69"/>
      <c r="G46" s="68"/>
      <c r="H46" s="68"/>
      <c r="L46" s="64"/>
      <c r="M46" s="192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146325.72</v>
      </c>
      <c r="D47" s="95" t="s">
        <v>167</v>
      </c>
      <c r="E47" s="69"/>
      <c r="G47" s="68"/>
      <c r="H47" s="68"/>
      <c r="L47" s="64"/>
      <c r="M47" s="192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36693.110000000015</v>
      </c>
      <c r="D48" s="81" t="s">
        <v>59</v>
      </c>
      <c r="E48" s="69"/>
      <c r="G48" s="68"/>
      <c r="H48" s="68"/>
      <c r="L48" s="64"/>
      <c r="M48" s="192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183018.83000000002</v>
      </c>
      <c r="D49" s="81" t="s">
        <v>59</v>
      </c>
      <c r="E49" s="69"/>
      <c r="G49" s="68"/>
      <c r="H49" s="68"/>
      <c r="L49" s="64"/>
      <c r="M49" s="192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183018.83000000002</v>
      </c>
      <c r="D50" s="81" t="s">
        <v>59</v>
      </c>
      <c r="E50" s="69"/>
      <c r="G50" s="68"/>
      <c r="H50" s="68"/>
      <c r="L50" s="64"/>
      <c r="M50" s="192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2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2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210859.28000000006</v>
      </c>
      <c r="F53" s="95" t="s">
        <v>168</v>
      </c>
      <c r="G53" s="67"/>
      <c r="H53" s="67"/>
      <c r="L53" s="64"/>
      <c r="M53" s="192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13665.539857420614</v>
      </c>
      <c r="D54" s="95" t="s">
        <v>169</v>
      </c>
      <c r="E54" s="70"/>
      <c r="F54" s="90"/>
      <c r="G54" s="65"/>
      <c r="H54" s="65"/>
      <c r="L54" s="64"/>
      <c r="M54" s="192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160913.18000000005</v>
      </c>
      <c r="D55" s="95" t="s">
        <v>167</v>
      </c>
      <c r="E55" s="70"/>
      <c r="G55" s="65"/>
      <c r="H55" s="65"/>
      <c r="L55" s="64"/>
      <c r="M55" s="192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49946.100000000006</v>
      </c>
      <c r="D56" s="81" t="s">
        <v>59</v>
      </c>
      <c r="E56" s="70"/>
      <c r="G56" s="65"/>
      <c r="H56" s="65"/>
      <c r="L56" s="64"/>
      <c r="M56" s="192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210859.28000000006</v>
      </c>
      <c r="D57" s="81" t="s">
        <v>59</v>
      </c>
      <c r="E57" s="70"/>
      <c r="G57" s="65"/>
      <c r="H57" s="65"/>
      <c r="L57" s="64"/>
      <c r="M57" s="192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210859.28000000006</v>
      </c>
      <c r="D58" s="81" t="s">
        <v>59</v>
      </c>
      <c r="E58" s="70"/>
      <c r="G58" s="65"/>
      <c r="H58" s="65"/>
      <c r="L58" s="64"/>
      <c r="M58" s="192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2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2"/>
      <c r="N60" s="64"/>
      <c r="O60" s="64"/>
    </row>
    <row r="61" spans="1:15" ht="15.75">
      <c r="A61" s="74" t="s">
        <v>138</v>
      </c>
      <c r="B61" s="78" t="s">
        <v>79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0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22381.139999999996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 t="str">
        <f>IF(E69&gt;0,"Предоставляется",0)</f>
        <v>Предоставляется</v>
      </c>
      <c r="D69" s="97" t="s">
        <v>55</v>
      </c>
      <c r="E69" s="96">
        <v>401966.78999999992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5046.3567504050279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279778.90000000008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122187.88999999984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401966.78999999992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401966.78999999992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 t="str">
        <f>IF(E77&gt;0,"Предоставляется",0)</f>
        <v>Предоставляется</v>
      </c>
      <c r="D77" s="97" t="s">
        <v>82</v>
      </c>
      <c r="E77" s="96">
        <v>752928.74999999988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526.59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683029.37999999989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69899.37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752928.74999999988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752928.74999999988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1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17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852589.85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2021-03-26T07:55:39Z</dcterms:modified>
</cp:coreProperties>
</file>