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G110" i="1"/>
  <c r="F110" i="1"/>
  <c r="J109" i="1"/>
  <c r="J104" i="1"/>
  <c r="J103" i="1"/>
  <c r="A105" i="1"/>
  <c r="G102" i="1"/>
  <c r="F102" i="1"/>
  <c r="J101" i="1"/>
  <c r="J96" i="1"/>
  <c r="J95" i="1"/>
  <c r="A100" i="1"/>
  <c r="A95" i="1"/>
  <c r="G94" i="1"/>
  <c r="K94" i="1"/>
  <c r="F118" i="1" l="1"/>
  <c r="A111" i="1"/>
  <c r="A122" i="1"/>
  <c r="A109" i="1"/>
  <c r="A110" i="1"/>
  <c r="A114" i="1"/>
  <c r="A123" i="1"/>
  <c r="D110" i="1"/>
  <c r="A112" i="1"/>
  <c r="A116" i="1"/>
  <c r="A119" i="1"/>
  <c r="A125" i="1"/>
  <c r="A113" i="1"/>
  <c r="A118" i="1"/>
  <c r="A121" i="1"/>
  <c r="A141" i="1"/>
  <c r="A96" i="1"/>
  <c r="F134" i="1"/>
  <c r="A94" i="1"/>
  <c r="D94" i="1"/>
  <c r="A99" i="1"/>
  <c r="A137" i="1"/>
  <c r="A106" i="1"/>
  <c r="F94" i="1"/>
  <c r="A101" i="1"/>
  <c r="A103" i="1"/>
  <c r="A107" i="1"/>
  <c r="A138" i="1"/>
  <c r="A97" i="1"/>
  <c r="A102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72" i="1"/>
  <c r="A172" i="1" s="1"/>
  <c r="I172" i="1" s="1"/>
  <c r="N174" i="1"/>
  <c r="A174" i="1" s="1"/>
  <c r="I174" i="1" s="1"/>
  <c r="N177" i="1"/>
  <c r="A177" i="1" s="1"/>
  <c r="I177" i="1" s="1"/>
  <c r="N181" i="1"/>
  <c r="A181" i="1" s="1"/>
  <c r="I181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87" i="1"/>
  <c r="A187" i="1" s="1"/>
  <c r="I187" i="1" s="1"/>
  <c r="N178" i="1"/>
  <c r="A178" i="1" s="1"/>
  <c r="I17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83" i="1"/>
  <c r="F183" i="1"/>
  <c r="F164" i="1"/>
  <c r="H164" i="1"/>
  <c r="F175" i="1"/>
  <c r="H174" i="1"/>
  <c r="A158" i="1"/>
  <c r="E155" i="1"/>
  <c r="H187" i="1" l="1"/>
  <c r="F187" i="1"/>
  <c r="F185" i="1"/>
  <c r="F180" i="1"/>
  <c r="H180" i="1"/>
  <c r="F174" i="1"/>
  <c r="F171" i="1"/>
  <c r="H171" i="1"/>
  <c r="H169" i="1"/>
  <c r="F169" i="1"/>
  <c r="F165" i="1"/>
  <c r="H165" i="1"/>
  <c r="H167" i="1"/>
  <c r="F166" i="1"/>
  <c r="H176" i="1"/>
  <c r="H172" i="1"/>
  <c r="H185" i="1"/>
  <c r="F172" i="1"/>
  <c r="F167" i="1"/>
  <c r="H175" i="1"/>
  <c r="H166" i="1"/>
  <c r="H177" i="1"/>
  <c r="F177" i="1"/>
  <c r="F178" i="1"/>
  <c r="H178" i="1"/>
  <c r="H186" i="1"/>
  <c r="F179" i="1"/>
  <c r="F170" i="1"/>
  <c r="F176" i="1"/>
  <c r="F186" i="1"/>
  <c r="H179" i="1"/>
  <c r="H170" i="1"/>
  <c r="F181" i="1"/>
  <c r="F184" i="1"/>
  <c r="H168" i="1"/>
  <c r="F168" i="1"/>
  <c r="H184" i="1"/>
  <c r="H173" i="1"/>
  <c r="F182" i="1"/>
  <c r="F173" i="1"/>
  <c r="H181" i="1"/>
  <c r="H182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<sst xmlns="http://schemas.openxmlformats.org/spreadsheetml/2006/main" count="543" uniqueCount="196">
  <si>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</si>
  <si>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</si>
  <si>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</si>
  <si>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</si>
  <si>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</si>
  <si>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</si>
  <si>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</si>
  <si>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</si>
  <si>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</si>
  <si>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</si>
  <si>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</si>
  <si>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</si>
  <si>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</si>
  <si>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</si>
  <si>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</si>
  <si>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</si>
  <si>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</si>
  <si>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</si>
  <si>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</si>
  <si>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</si>
  <si>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</si>
  <si>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</si>
  <si>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</si>
  <si>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</si>
  <si>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</si>
  <si>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</si>
  <si>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</si>
  <si>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</si>
  <si>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</si>
  <si>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</si>
  <si>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</si>
  <si>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</si>
  <si>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</si>
  <si>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</si>
  <si>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</si>
  <si>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</si>
  <si>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</si>
  <si>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</si>
  <si>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</si>
  <si>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</si>
  <si>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</si>
  <si>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</si>
  <si>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</si>
  <si>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</si>
  <si>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</si>
  <si>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</si>
  <si>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</si>
  <si>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</si>
  <si>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</si>
  <si>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</si>
  <si>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</si>
  <si>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</si>
  <si>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</si>
  <si>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</si>
  <si>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</si>
  <si>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</si>
  <si>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</si>
  <si>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</si>
  <si>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</si>
  <si>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</si>
  <si>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</si>
  <si>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</si>
  <si>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</si>
  <si>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</si>
  <si>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</si>
  <si>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</si>
  <si>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</si>
  <si>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</si>
  <si>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</si>
  <si>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</si>
  <si>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</si>
  <si>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</si>
  <si>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</si>
  <si>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</si>
  <si>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</si>
  <si>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</si>
  <si>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</si>
  <si>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</si>
  <si>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</si>
  <si>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</si>
  <si>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</si>
  <si>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</si>
  <si>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</si>
  <si>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</si>
  <si>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</si>
  <si>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</si>
  <si>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</si>
  <si>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</si>
  <si>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</si>
  <si>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</si>
  <si>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</si>
  <si>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</si>
  <si>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</si>
  <si>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</si>
  <si>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</si>
  <si>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</si>
  <si>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</si>
  <si>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</si>
  <si>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</si>
  <si>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</si>
  <si>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</si>
  <si>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</si>
  <si>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</si>
  <si>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</si>
  <si>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</si>
  <si>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</si>
  <si>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</si>
  <si>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</si>
  <si>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</si>
  <si>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</si>
  <si>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</si>
  <si>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</si>
  <si>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</si>
  <si>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</si>
  <si>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</si>
  <si>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</si>
  <si>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</si>
  <si>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</si>
  <si>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</si>
  <si>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</si>
  <si>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</si>
  <si>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</si>
  <si>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</si>
  <si>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</si>
  <si>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</si>
  <si>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</si>
  <si>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</si>
  <si>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</si>
  <si>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</si>
  <si>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</si>
  <si>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</si>
  <si>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</si>
  <si>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</si>
  <si>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</si>
  <si>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</si>
  <si>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</si>
  <si>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</si>
  <si>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</si>
  <si>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</si>
  <si>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</si>
  <si>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</si>
  <si>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</si>
  <si>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</si>
  <si>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</si>
  <si>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</si>
  <si>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</si>
  <si>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</si>
  <si>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</si>
  <si>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</si>
  <si>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</si>
  <si>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</si>
  <si>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</si>
  <si>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</si>
  <si>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</si>
  <si>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</si>
  <si>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</si>
  <si>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</si>
  <si>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</si>
  <si>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</si>
  <si>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</si>
  <si>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</si>
  <si>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</si>
  <si>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</si>
  <si>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</si>
  <si>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</si>
  <si>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</si>
  <si>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</si>
  <si>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</si>
  <si>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</si>
  <si>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</si>
  <si>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</si>
  <si>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</si>
  <si>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</si>
  <si>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</si>
  <si>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130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</si>
  <si>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</si>
  <si>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</si>
  <si>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</si>
  <si>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</si>
  <si>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</si>
  <si>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ремонт подъезда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</si>
  <si>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</si>
  <si>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130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</si>
  <si>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</si>
  <si>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</si>
  <si>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</si>
  <si>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</si>
  <si>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</si>
  <si>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</si>
  <si>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</si>
  <si>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</si>
  <si>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Приобретение и установка профлиста на приямки.</t>
  </si>
  <si>
    <t>АВР 3/20 от 19.08.2020, Решение</t>
  </si>
  <si>
    <t>Замена прибора учета электрической энергии.</t>
  </si>
  <si>
    <t>АВР 2/20 от 14.07.2020</t>
  </si>
  <si>
    <t xml:space="preserve">  - 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</si>
</sst>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" fillId="0" borderId="0"/>
  </cellStyleXfs>
  <cellXfs count="17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0" fontId="5" fillId="0" borderId="0" xfId="5" applyFont="1" applyFill="1" applyBorder="1" applyAlignment="1">
      <alignment horizontal="center"/>
    </xf>
    <xf numFmtId="0" fontId="5" fillId="0" borderId="0" xfId="5" applyFill="1" applyBorder="1" applyAlignment="1">
      <alignment horizontal="center"/>
    </xf>
    <xf numFmtId="0" fontId="5" fillId="0" borderId="0" xfId="5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4" fillId="0" borderId="0" xfId="5" applyFont="1" applyFill="1" applyBorder="1" applyAlignment="1"/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3" fillId="0" borderId="0" xfId="14" applyFont="1" applyFill="1" applyBorder="1" applyAlignment="1"/>
    <xf numFmtId="0" fontId="3" fillId="0" borderId="0" xfId="14" applyFont="1" applyFill="1" applyBorder="1" applyAlignment="1">
      <alignment horizontal="center"/>
    </xf>
    <xf numFmtId="1" fontId="3" fillId="0" borderId="0" xfId="14" applyNumberFormat="1" applyFill="1" applyBorder="1" applyAlignment="1">
      <alignment horizontal="center"/>
    </xf>
    <xf numFmtId="4" fontId="3" fillId="0" borderId="0" xfId="14" applyNumberFormat="1" applyFill="1" applyBorder="1" applyAlignment="1"/>
    <xf numFmtId="0" fontId="3" fillId="0" borderId="0" xfId="14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center"/>
    </xf>
    <xf numFmtId="0" fontId="20" fillId="0" borderId="0" xfId="8" applyFont="1" applyFill="1" applyBorder="1" applyAlignment="1">
      <alignment horizontal="center"/>
    </xf>
    <xf numFmtId="4" fontId="20" fillId="0" borderId="0" xfId="8" applyNumberFormat="1" applyFont="1" applyFill="1" applyBorder="1" applyAlignment="1"/>
    <xf numFmtId="4" fontId="20" fillId="0" borderId="0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12"/>
    <cellStyle name="Обычный 3 3" xfId="13"/>
    <cellStyle name="Обычный 3 4" xfId="11"/>
    <cellStyle name="Обычный 3 5" xfId="7"/>
    <cellStyle name="Обычный 4" xfId="4"/>
    <cellStyle name="Обычный 4 2" xfId="8"/>
    <cellStyle name="Обычный 5" xfId="5"/>
    <cellStyle name="Обычный 5 2" xfId="9"/>
    <cellStyle name="Обычный 5 4" xfId="14"/>
    <cellStyle name="Финансовый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3" t="s">
        <v>174</v>
      </c>
      <c r="B2" s="163"/>
      <c r="C2" s="163"/>
      <c r="D2" s="163"/>
      <c r="E2" s="163"/>
      <c r="F2" s="163"/>
      <c r="G2" s="163"/>
      <c r="H2" s="163"/>
      <c r="I2" s="163"/>
      <c r="J2" s="16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43831</v>
      </c>
      <c r="K4" s="112"/>
      <c r="L4" s="112"/>
      <c r="M4" s="112"/>
      <c r="N4" s="112"/>
    </row>
    <row r="5" spans="1:18">
      <c r="A5" s="1" t="s">
        <v>1</v>
      </c>
      <c r="E5" s="119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12"/>
      <c r="L8" s="164"/>
      <c r="M8" s="112"/>
      <c r="N8" s="112"/>
      <c r="O8" s="72" t="s">
        <v>81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12"/>
      <c r="L9" s="164"/>
      <c r="M9" s="112"/>
      <c r="N9" s="112"/>
      <c r="O9" s="72" t="s">
        <v>82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26270.810000000027</v>
      </c>
      <c r="K10" s="112"/>
      <c r="L10" s="164"/>
      <c r="M10" s="112"/>
      <c r="N10" s="112"/>
      <c r="O10" s="72" t="s">
        <v>83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220776.95999999996</v>
      </c>
      <c r="K11" s="112"/>
      <c r="L11" s="164"/>
      <c r="M11" s="112"/>
      <c r="N11" s="112"/>
      <c r="O11" s="72" t="s">
        <v>84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149216.27999999997</v>
      </c>
      <c r="K12" s="112"/>
      <c r="L12" s="164"/>
      <c r="M12" s="112"/>
      <c r="N12" s="112"/>
      <c r="O12" s="72" t="s">
        <v>85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71560.680000000008</v>
      </c>
      <c r="K13" s="112"/>
      <c r="L13" s="164"/>
      <c r="M13" s="112"/>
      <c r="N13" s="112"/>
      <c r="O13" s="72" t="s">
        <v>86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12"/>
      <c r="L14" s="164"/>
      <c r="M14" s="112"/>
      <c r="N14" s="112"/>
      <c r="O14" s="72" t="s">
        <v>87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226511.06</v>
      </c>
      <c r="K15" s="112"/>
      <c r="L15" s="164"/>
      <c r="M15" s="112"/>
      <c r="N15" s="112"/>
      <c r="O15" s="72" t="s">
        <v>88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226511.06</v>
      </c>
      <c r="K16" s="112"/>
      <c r="L16" s="164"/>
      <c r="M16" s="112"/>
      <c r="N16" s="112"/>
      <c r="O16" s="72" t="s">
        <v>89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12"/>
      <c r="L17" s="164"/>
      <c r="M17" s="112"/>
      <c r="N17" s="112"/>
      <c r="O17" s="72" t="s">
        <v>90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12"/>
      <c r="L18" s="164"/>
      <c r="M18" s="112"/>
      <c r="N18" s="112"/>
      <c r="O18" s="72" t="s">
        <v>91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12"/>
      <c r="L19" s="164"/>
      <c r="M19" s="112"/>
      <c r="N19" s="112"/>
      <c r="O19" s="72" t="s">
        <v>92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12"/>
      <c r="L20" s="164"/>
      <c r="M20" s="112"/>
      <c r="N20" s="112"/>
      <c r="O20" s="72" t="s">
        <v>93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226511.06</v>
      </c>
      <c r="K21" s="112"/>
      <c r="L21" s="164"/>
      <c r="M21" s="112"/>
      <c r="N21" s="112"/>
      <c r="O21" s="72" t="s">
        <v>94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12"/>
      <c r="L22" s="164"/>
      <c r="M22" s="112"/>
      <c r="N22" s="112"/>
      <c r="O22" s="72" t="s">
        <v>95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12"/>
      <c r="L23" s="164"/>
      <c r="M23" s="112"/>
      <c r="N23" s="112"/>
      <c r="O23" s="72" t="s">
        <v>96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20536.709999999992</v>
      </c>
      <c r="K24" s="112"/>
      <c r="L24" s="164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2"/>
      <c r="L27" s="16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15746.04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2"/>
      <c r="L28" s="16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1"/>
      <c r="C29" s="141"/>
      <c r="D29" s="141"/>
      <c r="E29" s="141"/>
      <c r="F29" s="142">
        <f>VLOOKUP(A29,ПТО!$A$39:$D$53,2,FALSE)</f>
        <v>50666.64</v>
      </c>
      <c r="G29" s="142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12"/>
      <c r="L29" s="165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29206.32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2"/>
      <c r="L30" s="16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15238.08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2"/>
      <c r="L31" s="16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2"/>
      <c r="L32" s="165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6349.2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2"/>
      <c r="L33" s="16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28698.36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2"/>
      <c r="L34" s="16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1">
        <f>ПТО!A46</f>
        <v>0</v>
      </c>
      <c r="B35" s="141"/>
      <c r="C35" s="141"/>
      <c r="D35" s="141"/>
      <c r="E35" s="141"/>
      <c r="F35" s="142" t="e">
        <f>VLOOKUP(A35,ПТО!$A$39:$D$53,2,FALSE)</f>
        <v>#N/A</v>
      </c>
      <c r="G35" s="142"/>
      <c r="H35" s="42" t="e">
        <f>VLOOKUP(A35,ПТО!$A$39:$D$53,3,FALSE)</f>
        <v>#N/A</v>
      </c>
      <c r="I35" s="143" t="e">
        <f>VLOOKUP(A35,ПТО!$A$39:$D$53,4,FALSE)</f>
        <v>#N/A</v>
      </c>
      <c r="J35" s="143"/>
      <c r="K35" s="112"/>
      <c r="L35" s="165"/>
      <c r="M35" s="118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2"/>
      <c r="L36" s="165"/>
      <c r="M36" s="118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2"/>
      <c r="L37" s="165"/>
      <c r="M37" s="118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2"/>
      <c r="L38" s="165"/>
      <c r="M38" s="118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2"/>
      <c r="L39" s="165"/>
      <c r="M39" s="118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2"/>
      <c r="L40" s="165"/>
      <c r="M40" s="118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2"/>
      <c r="L41" s="165"/>
      <c r="M41" s="118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2"/>
      <c r="L42" s="165"/>
      <c r="M42" s="118"/>
      <c r="N42" s="112"/>
      <c r="O42" s="23">
        <f t="shared" si="1"/>
        <v>0</v>
      </c>
      <c r="R42" s="1" t="s">
        <v>71</v>
      </c>
    </row>
    <row r="43" spans="1:18" ht="51" customHeight="1" outlineLevel="1">
      <c r="A43" s="141" t="str">
        <f>ПТО!A2</f>
        <v>Техническое обслуживание охранной сигнализации.</v>
      </c>
      <c r="B43" s="141"/>
      <c r="C43" s="141"/>
      <c r="D43" s="141"/>
      <c r="E43" s="141"/>
      <c r="F43" s="142">
        <f>VLOOKUP(A43,ПТО!$A$2:$D$31,4,FALSE)</f>
        <v>5298.48</v>
      </c>
      <c r="G43" s="142"/>
      <c r="H43" s="19" t="str">
        <f>VLOOKUP(A43,ПТО!$A$2:$D$31,2,FALSE)</f>
        <v>ежемесячно</v>
      </c>
      <c r="I43" s="143">
        <f>VLOOKUP(A43,ПТО!$A$2:$D$31,3,FALSE)</f>
        <v>12</v>
      </c>
      <c r="J43" s="143"/>
      <c r="K43" s="112"/>
      <c r="L43" s="165"/>
      <c r="M43" s="118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1" t="str">
        <f>ПТО!A3</f>
        <v>Приобретение и установка таблички по пожарной безопасности.</v>
      </c>
      <c r="B44" s="141"/>
      <c r="C44" s="141"/>
      <c r="D44" s="141"/>
      <c r="E44" s="141"/>
      <c r="F44" s="142">
        <f>VLOOKUP(A44,ПТО!$A$2:$D$31,4,FALSE)</f>
        <v>250</v>
      </c>
      <c r="G44" s="142"/>
      <c r="H44" s="25" t="str">
        <f>VLOOKUP(A44,ПТО!$A$2:$D$31,2,FALSE)</f>
        <v>разово</v>
      </c>
      <c r="I44" s="143">
        <f>VLOOKUP(A44,ПТО!$A$2:$D$31,3,FALSE)</f>
        <v>1</v>
      </c>
      <c r="J44" s="143"/>
      <c r="K44" s="112"/>
      <c r="L44" s="165"/>
      <c r="M44" s="118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1" t="str">
        <f>ПТО!A4</f>
        <v>Замена прибора учета электрической энергии.</v>
      </c>
      <c r="B45" s="141"/>
      <c r="C45" s="141"/>
      <c r="D45" s="141"/>
      <c r="E45" s="141"/>
      <c r="F45" s="142">
        <f>VLOOKUP(A45,ПТО!$A$2:$D$31,4,FALSE)</f>
        <v>7209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12"/>
      <c r="L45" s="165"/>
      <c r="M45" s="118"/>
      <c r="N45" s="112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1" t="str">
        <f>ПТО!A5</f>
        <v>Приобретение и установка профлиста на приямки.</v>
      </c>
      <c r="B46" s="141"/>
      <c r="C46" s="141"/>
      <c r="D46" s="141"/>
      <c r="E46" s="141"/>
      <c r="F46" s="142">
        <f>VLOOKUP(A46,ПТО!$A$2:$D$31,4,FALSE)</f>
        <v>9050</v>
      </c>
      <c r="G46" s="142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12"/>
      <c r="L46" s="165"/>
      <c r="M46" s="118"/>
      <c r="N46" s="112"/>
      <c r="O46" s="23" t="str">
        <f t="shared" si="1"/>
        <v>Приобретение и установка профлиста на приямки.</v>
      </c>
      <c r="R46" s="22" t="s">
        <v>72</v>
      </c>
    </row>
    <row r="47" spans="1:18" ht="51" hidden="1" customHeight="1" outlineLevel="1">
      <c r="A47" s="141">
        <f>ПТО!A6</f>
        <v>0</v>
      </c>
      <c r="B47" s="141"/>
      <c r="C47" s="141"/>
      <c r="D47" s="141"/>
      <c r="E47" s="141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43" t="e">
        <f>VLOOKUP(A47,ПТО!$A$2:$D$31,3,FALSE)</f>
        <v>#N/A</v>
      </c>
      <c r="J47" s="143"/>
      <c r="K47" s="112"/>
      <c r="L47" s="165"/>
      <c r="M47" s="118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1">
        <f>ПТО!A7</f>
        <v>0</v>
      </c>
      <c r="B48" s="141"/>
      <c r="C48" s="141"/>
      <c r="D48" s="141"/>
      <c r="E48" s="141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43" t="e">
        <f>VLOOKUP(A48,ПТО!$A$2:$D$31,3,FALSE)</f>
        <v>#N/A</v>
      </c>
      <c r="J48" s="143"/>
      <c r="K48" s="112"/>
      <c r="L48" s="165"/>
      <c r="M48" s="118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1">
        <f>ПТО!A8</f>
        <v>0</v>
      </c>
      <c r="B49" s="141"/>
      <c r="C49" s="141"/>
      <c r="D49" s="141"/>
      <c r="E49" s="141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43" t="e">
        <f>VLOOKUP(A49,ПТО!$A$2:$D$31,3,FALSE)</f>
        <v>#N/A</v>
      </c>
      <c r="J49" s="143"/>
      <c r="K49" s="112"/>
      <c r="L49" s="165"/>
      <c r="M49" s="118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2"/>
      <c r="L50" s="165"/>
      <c r="M50" s="118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2"/>
      <c r="L51" s="165"/>
      <c r="M51" s="118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2"/>
      <c r="L52" s="165"/>
      <c r="M52" s="118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2"/>
      <c r="L53" s="165"/>
      <c r="M53" s="118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2"/>
      <c r="L54" s="165"/>
      <c r="M54" s="118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2"/>
      <c r="L55" s="165"/>
      <c r="M55" s="118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2"/>
      <c r="L56" s="165"/>
      <c r="M56" s="118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2"/>
      <c r="L57" s="165"/>
      <c r="M57" s="118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2"/>
      <c r="L58" s="165"/>
      <c r="M58" s="118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2"/>
      <c r="L59" s="165"/>
      <c r="M59" s="118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2"/>
      <c r="L60" s="165"/>
      <c r="M60" s="118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2"/>
      <c r="L61" s="165"/>
      <c r="M61" s="118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2"/>
      <c r="L62" s="165"/>
      <c r="M62" s="118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2"/>
      <c r="L63" s="165"/>
      <c r="M63" s="118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2"/>
      <c r="L64" s="165"/>
      <c r="M64" s="118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2"/>
      <c r="L65" s="165"/>
      <c r="M65" s="118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2"/>
      <c r="L66" s="165"/>
      <c r="M66" s="118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2"/>
      <c r="L67" s="165"/>
      <c r="M67" s="118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2"/>
      <c r="L68" s="165"/>
      <c r="M68" s="118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2"/>
      <c r="L69" s="165"/>
      <c r="M69" s="118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2"/>
      <c r="L70" s="165"/>
      <c r="M70" s="118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8"/>
      <c r="L71" s="165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2"/>
      <c r="L72" s="165"/>
      <c r="M72" s="118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2"/>
      <c r="L75" s="148"/>
      <c r="M75" s="112"/>
      <c r="N75" s="112"/>
      <c r="O75" s="72" t="s">
        <v>98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2"/>
      <c r="L76" s="148"/>
      <c r="M76" s="112"/>
      <c r="N76" s="112"/>
      <c r="O76" s="72" t="s">
        <v>99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2"/>
      <c r="L77" s="148"/>
      <c r="M77" s="112"/>
      <c r="N77" s="112"/>
      <c r="O77" s="72" t="s">
        <v>100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9">
        <f>VLOOKUP(O78,АО,3,FALSE)</f>
        <v>0</v>
      </c>
      <c r="K78" s="112"/>
      <c r="L78" s="148"/>
      <c r="M78" s="112"/>
      <c r="N78" s="112"/>
      <c r="O78" s="72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9">
        <f t="shared" ref="J81:J90" si="2">VLOOKUP(O81,АО,3,FALSE)</f>
        <v>0</v>
      </c>
      <c r="K81" s="112"/>
      <c r="L81" s="166"/>
      <c r="M81" s="112"/>
      <c r="N81" s="112"/>
      <c r="O81" s="72" t="s">
        <v>102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9">
        <f t="shared" si="2"/>
        <v>0</v>
      </c>
      <c r="K82" s="112"/>
      <c r="L82" s="166"/>
      <c r="M82" s="112"/>
      <c r="N82" s="112"/>
      <c r="O82" s="72" t="s">
        <v>103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9">
        <f t="shared" si="2"/>
        <v>24917.98</v>
      </c>
      <c r="K83" s="112"/>
      <c r="L83" s="166"/>
      <c r="M83" s="112"/>
      <c r="N83" s="112"/>
      <c r="O83" s="72" t="s">
        <v>104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9">
        <f t="shared" si="2"/>
        <v>0</v>
      </c>
      <c r="K84" s="112"/>
      <c r="L84" s="166"/>
      <c r="M84" s="112"/>
      <c r="N84" s="112"/>
      <c r="O84" s="72" t="s">
        <v>105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9">
        <f t="shared" si="2"/>
        <v>0</v>
      </c>
      <c r="K85" s="112"/>
      <c r="L85" s="166"/>
      <c r="M85" s="112"/>
      <c r="N85" s="112"/>
      <c r="O85" s="72" t="s">
        <v>106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9">
        <f t="shared" si="2"/>
        <v>27750.799999999999</v>
      </c>
      <c r="K86" s="112"/>
      <c r="L86" s="166"/>
      <c r="M86" s="112"/>
      <c r="N86" s="112"/>
      <c r="O86" s="72" t="s">
        <v>107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2"/>
      <c r="L87" s="166"/>
      <c r="M87" s="112"/>
      <c r="N87" s="112"/>
      <c r="O87" s="72" t="s">
        <v>108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2"/>
      <c r="L88" s="166"/>
      <c r="M88" s="112"/>
      <c r="N88" s="112"/>
      <c r="O88" s="72" t="s">
        <v>109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2"/>
      <c r="L89" s="166"/>
      <c r="M89" s="112"/>
      <c r="N89" s="112"/>
      <c r="O89" s="72" t="s">
        <v>110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9">
        <f t="shared" si="2"/>
        <v>0</v>
      </c>
      <c r="K90" s="112"/>
      <c r="L90" s="166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12"/>
      <c r="L93" s="112"/>
      <c r="M93" s="112"/>
      <c r="N93" s="112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1">
        <f>VLOOKUP("эл",АО,5,FALSE)</f>
        <v>75084.669999999984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65863.745614035084</v>
      </c>
      <c r="L95" s="167"/>
      <c r="O95" s="1" t="s">
        <v>112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69610.38</v>
      </c>
      <c r="L96" s="167"/>
      <c r="O96" s="1" t="s">
        <v>113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5474.289999999979</v>
      </c>
      <c r="L97" s="167"/>
      <c r="O97" s="1" t="s">
        <v>114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75084.669999999984</v>
      </c>
      <c r="L98" s="167"/>
      <c r="O98" s="1" t="s">
        <v>115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75084.669999999984</v>
      </c>
      <c r="L99" s="167"/>
      <c r="O99" s="1" t="s">
        <v>116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117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49339.81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3646.6969696969695</v>
      </c>
      <c r="L103" s="167"/>
      <c r="O103" s="1" t="s">
        <v>121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48231.709999999992</v>
      </c>
      <c r="L104" s="167"/>
      <c r="O104" s="1" t="s">
        <v>122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1108.1000000000058</v>
      </c>
      <c r="L105" s="167"/>
      <c r="O105" s="1" t="s">
        <v>123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49339.81</v>
      </c>
      <c r="L106" s="167"/>
      <c r="O106" s="1" t="s">
        <v>124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49339.81</v>
      </c>
      <c r="L107" s="167"/>
      <c r="O107" s="1" t="s">
        <v>125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126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57059.969999999987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3697.9889825016194</v>
      </c>
      <c r="L111" s="167"/>
      <c r="O111" s="1" t="s">
        <v>129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53433.58</v>
      </c>
      <c r="L112" s="167"/>
      <c r="O112" s="1" t="s">
        <v>130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3626.3899999999849</v>
      </c>
      <c r="L113" s="167"/>
      <c r="O113" s="1" t="s">
        <v>131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57059.969999999987</v>
      </c>
      <c r="L114" s="167"/>
      <c r="O114" s="1" t="s">
        <v>132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57059.969999999987</v>
      </c>
      <c r="L115" s="167"/>
      <c r="O115" s="1" t="s">
        <v>133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134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1">
        <f>VLOOKUP("тко",АО,5,FALSE)</f>
        <v>0</v>
      </c>
      <c r="H118" s="152"/>
      <c r="I118" s="152"/>
      <c r="J118" s="152"/>
      <c r="L118" s="49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1">
        <f>VLOOKUP("гвс",АО,5,FALSE)</f>
        <v>0</v>
      </c>
      <c r="H126" s="152"/>
      <c r="I126" s="152"/>
      <c r="J126" s="152"/>
      <c r="L126" s="49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9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1</v>
      </c>
      <c r="O144" t="s">
        <v>169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9" t="s">
        <v>172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2252.29</v>
      </c>
      <c r="O146" t="s">
        <v>171</v>
      </c>
    </row>
    <row r="149" spans="1:15" ht="52.5" customHeight="1">
      <c r="A149" s="145" t="s">
        <v>182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4" t="s">
        <v>183</v>
      </c>
      <c r="B154" s="144"/>
      <c r="C154" s="144"/>
      <c r="D154" s="144"/>
      <c r="E154" s="27">
        <f>ПТО!G1</f>
        <v>-151836.32</v>
      </c>
    </row>
    <row r="155" spans="1:15" ht="34.5" customHeight="1">
      <c r="A155" s="146" t="s">
        <v>185</v>
      </c>
      <c r="B155" s="146"/>
      <c r="C155" s="146"/>
      <c r="D155" s="146"/>
      <c r="E155" s="28">
        <f>J13</f>
        <v>71560.680000000008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Техническое обслуживание охранной сигнализации.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5298.48</v>
      </c>
      <c r="G158" s="142"/>
      <c r="H158" s="24" t="str">
        <f t="shared" ref="H158:H187" si="16">VLOOKUP(A158,$A$28:$J$72,8,FALSE)</f>
        <v>ежемесячно</v>
      </c>
      <c r="I158" s="143">
        <f t="shared" ref="I158:I161" si="17">VLOOKUP(A158,$A$28:$J$72,9,FALSE)</f>
        <v>12</v>
      </c>
      <c r="J158" s="14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1" t="str">
        <f t="shared" si="14"/>
        <v>Приобретение и установка таблички по пожарной безопасности.</v>
      </c>
      <c r="B159" s="141"/>
      <c r="C159" s="141"/>
      <c r="D159" s="141"/>
      <c r="E159" s="141"/>
      <c r="F159" s="142">
        <f t="shared" si="15"/>
        <v>250</v>
      </c>
      <c r="G159" s="142"/>
      <c r="H159" s="24" t="str">
        <f t="shared" si="16"/>
        <v>разово</v>
      </c>
      <c r="I159" s="143">
        <f t="shared" si="17"/>
        <v>1</v>
      </c>
      <c r="J159" s="143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1" t="str">
        <f t="shared" si="14"/>
        <v>Замена прибора учета электрической энергии.</v>
      </c>
      <c r="B160" s="141"/>
      <c r="C160" s="141"/>
      <c r="D160" s="141"/>
      <c r="E160" s="141"/>
      <c r="F160" s="142">
        <f t="shared" si="15"/>
        <v>7209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1" t="str">
        <f>IF(N161&gt;0,N161,0)</f>
        <v>Приобретение и установка профлиста на приямки.</v>
      </c>
      <c r="B161" s="141"/>
      <c r="C161" s="141"/>
      <c r="D161" s="141"/>
      <c r="E161" s="141"/>
      <c r="F161" s="142">
        <f t="shared" si="15"/>
        <v>9050</v>
      </c>
      <c r="G161" s="142"/>
      <c r="H161" s="24" t="str">
        <f t="shared" si="16"/>
        <v>разово</v>
      </c>
      <c r="I161" s="143">
        <f t="shared" si="17"/>
        <v>1</v>
      </c>
      <c r="J161" s="143"/>
      <c r="M161" s="22" t="s">
        <v>72</v>
      </c>
      <c r="N161" s="1" t="str">
        <v>Приобретение и установка профлиста на приямки.</v>
      </c>
    </row>
    <row r="162" spans="1:14" ht="28.5" hidden="1" customHeight="1">
      <c r="A162" s="141">
        <f t="shared" si="14"/>
        <v>0</v>
      </c>
      <c r="B162" s="141"/>
      <c r="C162" s="141"/>
      <c r="D162" s="141"/>
      <c r="E162" s="141"/>
      <c r="F162" s="142">
        <f t="shared" si="15"/>
        <v>0</v>
      </c>
      <c r="G162" s="142"/>
      <c r="H162" s="24" t="e">
        <f t="shared" si="16"/>
        <v>#N/A</v>
      </c>
      <c r="I162" s="143" t="e">
        <f>VLOOKUP(A162,$A$28:$J$72,9,FALSE)</f>
        <v>#N/A</v>
      </c>
      <c r="J162" s="143"/>
      <c r="M162" s="22" t="s">
        <v>72</v>
      </c>
      <c r="N162" s="1">
        <v>0</v>
      </c>
    </row>
    <row r="163" spans="1:14" ht="28.5" hidden="1" customHeight="1">
      <c r="A163" s="141">
        <f t="shared" si="14"/>
        <v>0</v>
      </c>
      <c r="B163" s="141"/>
      <c r="C163" s="141"/>
      <c r="D163" s="141"/>
      <c r="E163" s="141"/>
      <c r="F163" s="142">
        <f t="shared" si="15"/>
        <v>0</v>
      </c>
      <c r="G163" s="142"/>
      <c r="H163" s="24" t="e">
        <f t="shared" si="16"/>
        <v>#N/A</v>
      </c>
      <c r="I163" s="143" t="e">
        <f>VLOOKUP(A163,$A$28:$J$72,9,FALSE)</f>
        <v>#N/A</v>
      </c>
      <c r="J163" s="143"/>
      <c r="M163" s="22" t="s">
        <v>72</v>
      </c>
      <c r="N163" s="1">
        <v>0</v>
      </c>
    </row>
    <row r="164" spans="1:14" ht="28.5" hidden="1" customHeight="1">
      <c r="A164" s="141">
        <f t="shared" ref="A164:A187" si="18">IF(N164&gt;0,N164,0)</f>
        <v>0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43" t="e">
        <f t="shared" ref="I164:I187" si="20">VLOOKUP(A164,$A$28:$J$72,9,FALSE)</f>
        <v>#N/A</v>
      </c>
      <c r="J164" s="143"/>
      <c r="M164" s="22" t="s">
        <v>72</v>
      </c>
      <c r="N164" s="1">
        <v>0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2">
        <f t="shared" si="19"/>
        <v>0</v>
      </c>
      <c r="G165" s="142"/>
      <c r="H165" s="29" t="e">
        <f t="shared" si="16"/>
        <v>#N/A</v>
      </c>
      <c r="I165" s="143" t="e">
        <f t="shared" si="20"/>
        <v>#N/A</v>
      </c>
      <c r="J165" s="143"/>
      <c r="M165" s="22" t="s">
        <v>72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2">
        <f t="shared" si="19"/>
        <v>0</v>
      </c>
      <c r="G166" s="142"/>
      <c r="H166" s="29" t="e">
        <f t="shared" si="16"/>
        <v>#N/A</v>
      </c>
      <c r="I166" s="143" t="e">
        <f t="shared" si="20"/>
        <v>#N/A</v>
      </c>
      <c r="J166" s="143"/>
      <c r="M166" s="22" t="s">
        <v>72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2">
        <f t="shared" si="19"/>
        <v>0</v>
      </c>
      <c r="G167" s="142"/>
      <c r="H167" s="29" t="e">
        <f t="shared" si="16"/>
        <v>#N/A</v>
      </c>
      <c r="I167" s="143" t="e">
        <f t="shared" si="20"/>
        <v>#N/A</v>
      </c>
      <c r="J167" s="143"/>
      <c r="M167" s="22" t="s">
        <v>72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72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72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72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72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72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72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72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72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72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72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72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72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72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72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72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72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72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72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72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4" t="s">
        <v>186</v>
      </c>
      <c r="B190" s="144"/>
      <c r="C190" s="144"/>
      <c r="D190" s="144"/>
      <c r="E190" s="27">
        <f>SUM(F158:G187)</f>
        <v>21807.48</v>
      </c>
    </row>
    <row r="191" spans="1:14" ht="51.75" customHeight="1">
      <c r="A191" s="144" t="s">
        <v>187</v>
      </c>
      <c r="B191" s="144"/>
      <c r="C191" s="144"/>
      <c r="D191" s="144"/>
      <c r="E191" s="27">
        <f>E190+E154-E155</f>
        <v>-201589.52000000002</v>
      </c>
    </row>
    <row r="192" spans="1:14">
      <c r="A192" s="107" t="s">
        <v>173</v>
      </c>
    </row>
    <row r="193" spans="1:10" ht="62.25" customHeight="1">
      <c r="A193" s="169" t="s">
        <v>184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51">
        <f>ПТО!G12</f>
        <v>1200</v>
      </c>
      <c r="I194" s="52" t="s">
        <v>74</v>
      </c>
    </row>
    <row r="195" spans="1:10" ht="18.75" customHeight="1">
      <c r="A195" s="168" t="str">
        <f>ПТО!F13</f>
        <v xml:space="preserve">  -  техническое обслуживание охранной сигнализации</v>
      </c>
      <c r="B195" s="168"/>
      <c r="C195" s="168"/>
      <c r="D195" s="168"/>
      <c r="E195" s="168"/>
      <c r="F195" s="168"/>
      <c r="G195" s="168"/>
      <c r="H195" s="51">
        <f>ПТО!G13</f>
        <v>5300</v>
      </c>
      <c r="I195" s="52" t="s">
        <v>74</v>
      </c>
    </row>
    <row r="196" spans="1:10" ht="18.75" customHeight="1">
      <c r="A196" s="168" t="str">
        <f>ПТО!F14</f>
        <v xml:space="preserve">  -  ремонт подъезда</v>
      </c>
      <c r="B196" s="168"/>
      <c r="C196" s="168"/>
      <c r="D196" s="168"/>
      <c r="E196" s="168"/>
      <c r="F196" s="168"/>
      <c r="G196" s="168"/>
      <c r="H196" s="51">
        <f>ПТО!G14</f>
        <v>170000</v>
      </c>
      <c r="I196" s="52" t="s">
        <v>74</v>
      </c>
    </row>
    <row r="197" spans="1:10" ht="18.75" customHeight="1">
      <c r="A197" s="168" t="str">
        <f>ПТО!F15</f>
        <v xml:space="preserve">  -  установка системы видеонаблюдения</v>
      </c>
      <c r="B197" s="168"/>
      <c r="C197" s="168"/>
      <c r="D197" s="168"/>
      <c r="E197" s="168"/>
      <c r="F197" s="168"/>
      <c r="G197" s="168"/>
      <c r="H197" s="51">
        <f>ПТО!G15</f>
        <v>40000</v>
      </c>
      <c r="I197" s="52" t="s">
        <v>74</v>
      </c>
    </row>
    <row r="198" spans="1:10" ht="18.75" customHeight="1">
      <c r="A198" s="168" t="str">
        <f>ПТО!F16</f>
        <v xml:space="preserve">  -  работы по выбору (решению) общего собрания или совета дома</v>
      </c>
      <c r="B198" s="168"/>
      <c r="C198" s="168"/>
      <c r="D198" s="168"/>
      <c r="E198" s="168"/>
      <c r="F198" s="168"/>
      <c r="G198" s="168"/>
      <c r="H198" s="51">
        <f>ПТО!G16</f>
        <v>56500</v>
      </c>
      <c r="I198" s="54" t="s">
        <v>74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51">
        <f>ПТО!G17</f>
        <v>0</v>
      </c>
      <c r="I199" s="52" t="s">
        <v>74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51">
        <f>ПТО!G18</f>
        <v>0</v>
      </c>
      <c r="I200" s="52" t="s">
        <v>74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51">
        <f>ПТО!G19</f>
        <v>0</v>
      </c>
      <c r="I201" s="52" t="s">
        <v>74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51">
        <f>ПТО!G20</f>
        <v>0</v>
      </c>
      <c r="I202" s="52" t="s">
        <v>74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51">
        <f>ПТО!G21</f>
        <v>0</v>
      </c>
      <c r="I203" s="52" t="s">
        <v>74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51">
        <f>ПТО!G22</f>
        <v>0</v>
      </c>
      <c r="I204" s="52" t="s">
        <v>74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51">
        <f>ПТО!G23</f>
        <v>0</v>
      </c>
      <c r="I205" s="52" t="s">
        <v>74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51">
        <f>ПТО!G24</f>
        <v>0</v>
      </c>
      <c r="I206" s="52" t="s">
        <v>74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51">
        <f>ПТО!G25</f>
        <v>0</v>
      </c>
      <c r="I207" s="52" t="s">
        <v>74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51">
        <f>ПТО!G26</f>
        <v>0</v>
      </c>
      <c r="I208" s="52" t="s">
        <v>74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51">
        <f>ПТО!G27</f>
        <v>0</v>
      </c>
      <c r="I209" s="52" t="s">
        <v>74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51">
        <f>ПТО!G28</f>
        <v>0</v>
      </c>
      <c r="I210" s="52" t="s">
        <v>74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51">
        <f>ПТО!G29</f>
        <v>0</v>
      </c>
      <c r="I211" s="52" t="s">
        <v>74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51">
        <f>ПТО!G30</f>
        <v>0</v>
      </c>
      <c r="I212" s="52" t="s">
        <v>74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273000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183</v>
      </c>
      <c r="G1" s="104">
        <f>-151836.32</f>
        <v>-151836.32</v>
      </c>
    </row>
    <row r="2" spans="1:12" ht="18.75" customHeight="1">
      <c r="A2" s="125" t="s">
        <v>179</v>
      </c>
      <c r="B2" s="122" t="s">
        <v>176</v>
      </c>
      <c r="C2" s="121">
        <v>12</v>
      </c>
      <c r="D2" s="120">
        <v>5298.48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188</v>
      </c>
      <c r="B3" s="129" t="s">
        <v>189</v>
      </c>
      <c r="C3" s="130">
        <v>1</v>
      </c>
      <c r="D3" s="131">
        <v>250</v>
      </c>
      <c r="E3" s="132" t="s">
        <v>190</v>
      </c>
      <c r="F3" s="30"/>
      <c r="G3" s="30"/>
      <c r="L3" s="33" t="str">
        <f t="shared" si="0"/>
        <v>ТР</v>
      </c>
    </row>
    <row r="4" spans="1:12" ht="18.75" customHeight="1">
      <c r="A4" s="136" t="s">
        <v>193</v>
      </c>
      <c r="B4" s="137" t="s">
        <v>189</v>
      </c>
      <c r="C4" s="138">
        <v>1</v>
      </c>
      <c r="D4" s="139">
        <v>7209</v>
      </c>
      <c r="E4" s="140" t="s">
        <v>194</v>
      </c>
      <c r="F4" s="30"/>
      <c r="G4" s="30"/>
      <c r="L4" s="33" t="str">
        <f t="shared" si="0"/>
        <v>ТР</v>
      </c>
    </row>
    <row r="5" spans="1:12" ht="18.75" customHeight="1">
      <c r="A5" s="133" t="s">
        <v>191</v>
      </c>
      <c r="B5" s="134" t="s">
        <v>189</v>
      </c>
      <c r="C5" s="123">
        <v>1</v>
      </c>
      <c r="D5" s="124">
        <v>9050</v>
      </c>
      <c r="E5" s="135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184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178</v>
      </c>
      <c r="G13" s="116">
        <v>5300</v>
      </c>
      <c r="L13" s="33">
        <f t="shared" si="0"/>
        <v>0</v>
      </c>
    </row>
    <row r="14" spans="1:12" ht="15.75">
      <c r="A14" s="30"/>
      <c r="F14" s="126" t="s">
        <v>180</v>
      </c>
      <c r="G14" s="127">
        <v>170000</v>
      </c>
      <c r="L14" s="33">
        <f t="shared" si="0"/>
        <v>0</v>
      </c>
    </row>
    <row r="15" spans="1:12" ht="15.75">
      <c r="A15" s="30"/>
      <c r="F15" s="126" t="s">
        <v>195</v>
      </c>
      <c r="G15" s="127">
        <v>40000</v>
      </c>
      <c r="L15" s="33">
        <f t="shared" si="0"/>
        <v>0</v>
      </c>
    </row>
    <row r="16" spans="1:12" ht="31.5">
      <c r="A16" s="30"/>
      <c r="F16" s="115" t="s">
        <v>181</v>
      </c>
      <c r="G16" s="116">
        <v>56500</v>
      </c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15746.04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15746.04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50666.64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50666.64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29206.32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29206.32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15238.08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15238.08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6349.2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6349.2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28698.36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28698.36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N71/plGdoY3Sd8LgSCZ37DvoLetN+7tgiIJbtcpRCdUUx0Hhp0tgtBxSn5XwFqRdN6Ry2u9mxatZMdwtjEQl6g==" saltValue="b5f2Azbuiubbt6OHQ8VTW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6" sqref="F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1094.2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26270.810000000027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220776.95999999996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149216.27999999997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71560.680000000008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226511.06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226511.06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226511.06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20536.709999999992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2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2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2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2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1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1"/>
      <c r="N26" s="65"/>
    </row>
    <row r="27" spans="1:15" ht="18.75" customHeight="1">
      <c r="A27" s="72" t="s">
        <v>104</v>
      </c>
      <c r="B27" s="77" t="s">
        <v>4</v>
      </c>
      <c r="C27" s="88">
        <v>24917.98</v>
      </c>
      <c r="D27" s="83" t="s">
        <v>60</v>
      </c>
      <c r="E27" s="66"/>
      <c r="F27" s="66"/>
      <c r="G27" s="66"/>
      <c r="H27" s="66"/>
      <c r="I27" s="66"/>
      <c r="J27" s="66"/>
      <c r="M27" s="171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1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1"/>
      <c r="N29" s="65"/>
    </row>
    <row r="30" spans="1:15" ht="18.75" customHeight="1">
      <c r="A30" s="72" t="s">
        <v>107</v>
      </c>
      <c r="B30" s="77" t="s">
        <v>18</v>
      </c>
      <c r="C30" s="88">
        <v>27750.799999999999</v>
      </c>
      <c r="D30" s="83" t="s">
        <v>66</v>
      </c>
      <c r="E30" s="66"/>
      <c r="F30" s="66"/>
      <c r="G30" s="66"/>
      <c r="H30" s="66"/>
      <c r="I30" s="66"/>
      <c r="J30" s="66"/>
      <c r="M30" s="171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1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1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1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1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75084.669999999984</v>
      </c>
      <c r="F37" s="96" t="s">
        <v>166</v>
      </c>
      <c r="G37" s="68"/>
      <c r="H37" s="68"/>
      <c r="I37" s="68"/>
      <c r="L37" s="65"/>
      <c r="M37" s="170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65863.745614035084</v>
      </c>
      <c r="D38" s="96" t="s">
        <v>164</v>
      </c>
      <c r="E38" s="70"/>
      <c r="G38" s="69"/>
      <c r="H38" s="69"/>
      <c r="L38" s="65"/>
      <c r="M38" s="170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69610.38</v>
      </c>
      <c r="D39" s="96" t="s">
        <v>165</v>
      </c>
      <c r="E39" s="70"/>
      <c r="G39" s="69"/>
      <c r="H39" s="69"/>
      <c r="L39" s="65"/>
      <c r="M39" s="170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5474.289999999979</v>
      </c>
      <c r="D40" s="82" t="s">
        <v>59</v>
      </c>
      <c r="E40" s="70"/>
      <c r="G40" s="69"/>
      <c r="H40" s="69"/>
      <c r="L40" s="65"/>
      <c r="M40" s="170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75084.669999999984</v>
      </c>
      <c r="D41" s="82" t="s">
        <v>59</v>
      </c>
      <c r="E41" s="70"/>
      <c r="G41" s="69"/>
      <c r="H41" s="69"/>
      <c r="L41" s="65"/>
      <c r="M41" s="170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75084.669999999984</v>
      </c>
      <c r="D42" s="82" t="s">
        <v>59</v>
      </c>
      <c r="E42" s="70"/>
      <c r="G42" s="69"/>
      <c r="H42" s="69"/>
      <c r="L42" s="65"/>
      <c r="M42" s="170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0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0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49339.81</v>
      </c>
      <c r="F45" s="96" t="s">
        <v>166</v>
      </c>
      <c r="G45" s="68"/>
      <c r="H45" s="68"/>
      <c r="L45" s="65"/>
      <c r="M45" s="170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3646.6969696969695</v>
      </c>
      <c r="D46" s="96" t="s">
        <v>167</v>
      </c>
      <c r="E46" s="70"/>
      <c r="G46" s="69"/>
      <c r="H46" s="69"/>
      <c r="L46" s="65"/>
      <c r="M46" s="170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48231.709999999992</v>
      </c>
      <c r="D47" s="96" t="s">
        <v>165</v>
      </c>
      <c r="E47" s="70"/>
      <c r="G47" s="69"/>
      <c r="H47" s="69"/>
      <c r="L47" s="65"/>
      <c r="M47" s="170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1108.1000000000058</v>
      </c>
      <c r="D48" s="82" t="s">
        <v>59</v>
      </c>
      <c r="E48" s="70"/>
      <c r="G48" s="69"/>
      <c r="H48" s="69"/>
      <c r="L48" s="65"/>
      <c r="M48" s="170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49339.81</v>
      </c>
      <c r="D49" s="82" t="s">
        <v>59</v>
      </c>
      <c r="E49" s="70"/>
      <c r="G49" s="69"/>
      <c r="H49" s="69"/>
      <c r="L49" s="65"/>
      <c r="M49" s="170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49339.81</v>
      </c>
      <c r="D50" s="82" t="s">
        <v>59</v>
      </c>
      <c r="E50" s="70"/>
      <c r="G50" s="69"/>
      <c r="H50" s="69"/>
      <c r="L50" s="65"/>
      <c r="M50" s="170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0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0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57059.969999999987</v>
      </c>
      <c r="F53" s="96" t="s">
        <v>166</v>
      </c>
      <c r="G53" s="68"/>
      <c r="H53" s="68"/>
      <c r="L53" s="65"/>
      <c r="M53" s="170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3697.9889825016194</v>
      </c>
      <c r="D54" s="96" t="s">
        <v>167</v>
      </c>
      <c r="E54" s="71"/>
      <c r="F54" s="91"/>
      <c r="G54" s="66"/>
      <c r="H54" s="66"/>
      <c r="L54" s="65"/>
      <c r="M54" s="170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53433.58</v>
      </c>
      <c r="D55" s="96" t="s">
        <v>165</v>
      </c>
      <c r="E55" s="71"/>
      <c r="G55" s="66"/>
      <c r="H55" s="66"/>
      <c r="L55" s="65"/>
      <c r="M55" s="170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3626.3899999999849</v>
      </c>
      <c r="D56" s="82" t="s">
        <v>59</v>
      </c>
      <c r="E56" s="71"/>
      <c r="G56" s="66"/>
      <c r="H56" s="66"/>
      <c r="L56" s="65"/>
      <c r="M56" s="170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57059.969999999987</v>
      </c>
      <c r="D57" s="82" t="s">
        <v>59</v>
      </c>
      <c r="E57" s="71"/>
      <c r="G57" s="66"/>
      <c r="H57" s="66"/>
      <c r="L57" s="65"/>
      <c r="M57" s="170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57059.969999999987</v>
      </c>
      <c r="D58" s="82" t="s">
        <v>59</v>
      </c>
      <c r="E58" s="71"/>
      <c r="G58" s="66"/>
      <c r="H58" s="66"/>
      <c r="L58" s="65"/>
      <c r="M58" s="170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0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0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2252.29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2021-03-26T07:50:47Z</dcterms:modified>
</cp:coreProperties>
</file>