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F118" i="1"/>
  <c r="J117" i="1"/>
  <c r="J112" i="1"/>
  <c r="J111" i="1"/>
  <c r="A115" i="1"/>
  <c r="A111" i="1"/>
  <c r="G110" i="1"/>
  <c r="A110" i="1"/>
  <c r="J109" i="1"/>
  <c r="J104" i="1"/>
  <c r="J103" i="1"/>
  <c r="A109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22" i="1" l="1"/>
  <c r="A123" i="1"/>
  <c r="A119" i="1"/>
  <c r="A125" i="1"/>
  <c r="A118" i="1"/>
  <c r="A121" i="1"/>
  <c r="A112" i="1"/>
  <c r="A114" i="1"/>
  <c r="D110" i="1"/>
  <c r="A116" i="1"/>
  <c r="F110" i="1"/>
  <c r="A113" i="1"/>
  <c r="A141" i="1"/>
  <c r="A98" i="1"/>
  <c r="F134" i="1"/>
  <c r="A94" i="1"/>
  <c r="A95" i="1"/>
  <c r="A105" i="1"/>
  <c r="D118" i="1"/>
  <c r="A120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<sst xmlns="http://schemas.openxmlformats.org/spreadsheetml/2006/main" count="548" uniqueCount="199">
  <si>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</si>
  <si>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</si>
  <si>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</si>
  <si>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</si>
  <si>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</si>
  <si>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</si>
  <si>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</si>
  <si>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</si>
  <si>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</si>
  <si>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</si>
  <si>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</si>
  <si>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</si>
  <si>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</si>
  <si>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</si>
  <si>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</si>
  <si>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</si>
  <si>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</si>
  <si>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</si>
  <si>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</si>
  <si>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</si>
  <si>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</si>
  <si>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</si>
  <si>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</si>
  <si>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</si>
  <si>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</si>
  <si>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</si>
  <si>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</si>
  <si>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</si>
  <si>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</si>
  <si>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</si>
  <si>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</si>
  <si>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</si>
  <si>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</si>
  <si>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</si>
  <si>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</si>
  <si>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</si>
  <si>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</si>
  <si>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</si>
  <si>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</si>
  <si>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</si>
  <si>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</si>
  <si>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</si>
  <si>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</si>
  <si>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</si>
  <si>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</si>
  <si>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</si>
  <si>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</si>
  <si>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</si>
  <si>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</si>
  <si>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</si>
  <si>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</si>
  <si>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</si>
  <si>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</si>
  <si>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</si>
  <si>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</si>
  <si>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</si>
  <si>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</si>
  <si>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</si>
  <si>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</si>
  <si>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</si>
  <si>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</si>
  <si>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</si>
  <si>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</si>
  <si>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</si>
  <si>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</si>
  <si>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</si>
  <si>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</si>
  <si>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</si>
  <si>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</si>
  <si>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</si>
  <si>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</si>
  <si>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</si>
  <si>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</si>
  <si>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</si>
  <si>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</si>
  <si>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</si>
  <si>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</si>
  <si>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</si>
  <si>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</si>
  <si>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</si>
  <si>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</si>
  <si>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</si>
  <si>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</si>
  <si>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</si>
  <si>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</si>
  <si>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</si>
  <si>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</si>
  <si>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</si>
  <si>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</si>
  <si>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</si>
  <si>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</si>
  <si>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</si>
  <si>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</si>
  <si>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</si>
  <si>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</si>
  <si>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</si>
  <si>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</si>
  <si>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</si>
  <si>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</si>
  <si>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</si>
  <si>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</si>
  <si>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</si>
  <si>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</si>
  <si>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</si>
  <si>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</si>
  <si>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</si>
  <si>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</si>
  <si>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</si>
  <si>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</si>
  <si>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</si>
  <si>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</si>
  <si>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</si>
  <si>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</si>
  <si>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</si>
  <si>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</si>
  <si>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</si>
  <si>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</si>
  <si>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</si>
  <si>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</si>
  <si>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</si>
  <si>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</si>
  <si>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</si>
  <si>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</si>
  <si>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</si>
  <si>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</si>
  <si>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</si>
  <si>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</si>
  <si>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</si>
  <si>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</si>
  <si>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</si>
  <si>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</si>
  <si>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</si>
  <si>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</si>
  <si>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</si>
  <si>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</si>
  <si>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</si>
  <si>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</si>
  <si>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</si>
  <si>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</si>
  <si>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</si>
  <si>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</si>
  <si>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</si>
  <si>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</si>
  <si>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</si>
  <si>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</si>
  <si>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</si>
  <si>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</si>
  <si>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</si>
  <si>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</si>
  <si>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</si>
  <si>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</si>
  <si>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</si>
  <si>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</si>
  <si>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</si>
  <si>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</si>
  <si>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</si>
  <si>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</si>
  <si>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</si>
  <si>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</si>
  <si>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</si>
  <si>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</si>
  <si>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</si>
  <si>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</si>
  <si>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</si>
  <si>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</si>
  <si>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</si>
  <si>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</si>
  <si>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</si>
  <si>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</si>
  <si>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</si>
  <si>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</si>
  <si>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</si>
  <si>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</si>
  <si>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</si>
  <si>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</si>
  <si>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129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</si>
  <si>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</si>
  <si>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</si>
  <si>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</si>
  <si>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</si>
  <si>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</si>
  <si>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129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</si>
  <si>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</si>
  <si>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</si>
  <si>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</si>
  <si>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</si>
  <si>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</si>
  <si>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</si>
  <si>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</si>
  <si>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</si>
  <si>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прибора учета ХВС.</t>
  </si>
  <si>
    <t>Приобретение и установка профлиста на приямки.</t>
  </si>
  <si>
    <t>АВР 2/20 от 21.07.2020, Решение, счет №182 от 25.06.2020</t>
  </si>
  <si>
    <t>АВР 3/20 от 06.08.2020, счет №474 от 17.07.2020</t>
  </si>
  <si>
    <t>Замена прибора учета электрической энергии.</t>
  </si>
  <si>
    <t>АВР 4/20 от 14.07.2020</t>
  </si>
  <si>
    <t>Приобретение и монтаж ячеистого коврика.</t>
  </si>
  <si>
    <t>АВР 5/20 от 23.10.2020, Решение, счет 16 от 12.10.2020</t>
  </si>
  <si>
    <t xml:space="preserve">  -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</si>
</sst>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3" fillId="0" borderId="0"/>
  </cellStyleXfs>
  <cellXfs count="17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7" fillId="0" borderId="0" xfId="5" applyFont="1" applyFill="1" applyBorder="1" applyAlignment="1">
      <alignment horizontal="center"/>
    </xf>
    <xf numFmtId="0" fontId="7" fillId="0" borderId="0" xfId="5" applyFill="1" applyBorder="1" applyAlignment="1">
      <alignment horizontal="center"/>
    </xf>
    <xf numFmtId="4" fontId="22" fillId="0" borderId="0" xfId="5" applyNumberFormat="1" applyFont="1" applyFill="1" applyBorder="1" applyAlignment="1"/>
    <xf numFmtId="0" fontId="6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4" fontId="22" fillId="0" borderId="0" xfId="6" applyNumberFormat="1" applyFont="1" applyFill="1" applyBorder="1" applyAlignment="1"/>
    <xf numFmtId="4" fontId="22" fillId="0" borderId="0" xfId="0" applyNumberFormat="1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5" fillId="0" borderId="0" xfId="0" applyFont="1" applyBorder="1" applyAlignment="1"/>
    <xf numFmtId="4" fontId="15" fillId="0" borderId="0" xfId="0" applyNumberFormat="1" applyFont="1" applyBorder="1" applyAlignment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M20" sqref="M2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4" t="s">
        <v>175</v>
      </c>
      <c r="B2" s="164"/>
      <c r="C2" s="164"/>
      <c r="D2" s="164"/>
      <c r="E2" s="164"/>
      <c r="F2" s="164"/>
      <c r="G2" s="164"/>
      <c r="H2" s="164"/>
      <c r="I2" s="164"/>
      <c r="J2" s="16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11"/>
      <c r="L8" s="165"/>
      <c r="M8" s="111"/>
      <c r="N8" s="111"/>
      <c r="O8" s="71" t="s">
        <v>81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11"/>
      <c r="L9" s="165"/>
      <c r="M9" s="111"/>
      <c r="N9" s="111"/>
      <c r="O9" s="71" t="s">
        <v>82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74377.389999999985</v>
      </c>
      <c r="K10" s="111"/>
      <c r="L10" s="165"/>
      <c r="M10" s="111"/>
      <c r="N10" s="111"/>
      <c r="O10" s="71" t="s">
        <v>83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229177.41999999998</v>
      </c>
      <c r="K11" s="111"/>
      <c r="L11" s="165"/>
      <c r="M11" s="111"/>
      <c r="N11" s="111"/>
      <c r="O11" s="71" t="s">
        <v>84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155066.13999999998</v>
      </c>
      <c r="K12" s="111"/>
      <c r="L12" s="165"/>
      <c r="M12" s="111"/>
      <c r="N12" s="111"/>
      <c r="O12" s="71" t="s">
        <v>85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74111.28</v>
      </c>
      <c r="K13" s="111"/>
      <c r="L13" s="165"/>
      <c r="M13" s="111"/>
      <c r="N13" s="111"/>
      <c r="O13" s="71" t="s">
        <v>86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11"/>
      <c r="L14" s="165"/>
      <c r="M14" s="111"/>
      <c r="N14" s="111"/>
      <c r="O14" s="71" t="s">
        <v>87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227632.2</v>
      </c>
      <c r="K15" s="111"/>
      <c r="L15" s="165"/>
      <c r="M15" s="111"/>
      <c r="N15" s="111"/>
      <c r="O15" s="71" t="s">
        <v>88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227632.2</v>
      </c>
      <c r="K16" s="111"/>
      <c r="L16" s="165"/>
      <c r="M16" s="111"/>
      <c r="N16" s="111"/>
      <c r="O16" s="71" t="s">
        <v>89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11"/>
      <c r="L17" s="165"/>
      <c r="M17" s="111"/>
      <c r="N17" s="111"/>
      <c r="O17" s="71" t="s">
        <v>90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11"/>
      <c r="L18" s="165"/>
      <c r="M18" s="111"/>
      <c r="N18" s="111"/>
      <c r="O18" s="71" t="s">
        <v>91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11"/>
      <c r="L19" s="165"/>
      <c r="M19" s="111"/>
      <c r="N19" s="111"/>
      <c r="O19" s="71" t="s">
        <v>92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11"/>
      <c r="L20" s="165"/>
      <c r="M20" s="111"/>
      <c r="N20" s="111"/>
      <c r="O20" s="71" t="s">
        <v>93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227632.2</v>
      </c>
      <c r="K21" s="111"/>
      <c r="L21" s="165"/>
      <c r="M21" s="111"/>
      <c r="N21" s="111"/>
      <c r="O21" s="71" t="s">
        <v>94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11"/>
      <c r="L22" s="165"/>
      <c r="M22" s="111"/>
      <c r="N22" s="111"/>
      <c r="O22" s="71" t="s">
        <v>95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11"/>
      <c r="L23" s="165"/>
      <c r="M23" s="111"/>
      <c r="N23" s="111"/>
      <c r="O23" s="71" t="s">
        <v>96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75922.609999999928</v>
      </c>
      <c r="K24" s="111"/>
      <c r="L24" s="165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8" t="s">
        <v>19</v>
      </c>
      <c r="B27" s="148"/>
      <c r="C27" s="148"/>
      <c r="D27" s="148"/>
      <c r="E27" s="148"/>
      <c r="F27" s="148" t="s">
        <v>20</v>
      </c>
      <c r="G27" s="148"/>
      <c r="H27" s="5" t="s">
        <v>57</v>
      </c>
      <c r="I27" s="148" t="s">
        <v>21</v>
      </c>
      <c r="J27" s="148"/>
      <c r="K27" s="111"/>
      <c r="L27" s="16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2"/>
      <c r="C28" s="142"/>
      <c r="D28" s="142"/>
      <c r="E28" s="142"/>
      <c r="F28" s="143">
        <f>VLOOKUP(A28,ПТО!$A$39:$D$53,2,FALSE)</f>
        <v>16862.04</v>
      </c>
      <c r="G28" s="143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1"/>
      <c r="L28" s="16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2"/>
      <c r="C29" s="142"/>
      <c r="D29" s="142"/>
      <c r="E29" s="142"/>
      <c r="F29" s="143">
        <f>VLOOKUP(A29,ПТО!$A$39:$D$53,2,FALSE)</f>
        <v>54257.64</v>
      </c>
      <c r="G29" s="143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11"/>
      <c r="L29" s="166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2"/>
      <c r="C30" s="142"/>
      <c r="D30" s="142"/>
      <c r="E30" s="142"/>
      <c r="F30" s="143">
        <f>VLOOKUP(A30,ПТО!$A$39:$D$53,2,FALSE)</f>
        <v>29100.6</v>
      </c>
      <c r="G30" s="143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1"/>
      <c r="L30" s="16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2" t="str">
        <f>ПТО!A42</f>
        <v>Работы, выполняемые для надлежащего содержания электрооборудования дома</v>
      </c>
      <c r="B31" s="142"/>
      <c r="C31" s="142"/>
      <c r="D31" s="142"/>
      <c r="E31" s="142"/>
      <c r="F31" s="143">
        <f>VLOOKUP(A31,ПТО!$A$39:$D$53,2,FALSE)</f>
        <v>16318.08</v>
      </c>
      <c r="G31" s="143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1"/>
      <c r="L31" s="16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2">
        <f>ПТО!A43</f>
        <v>0</v>
      </c>
      <c r="B32" s="142"/>
      <c r="C32" s="142"/>
      <c r="D32" s="142"/>
      <c r="E32" s="142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1"/>
      <c r="L32" s="166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2" t="str">
        <f>ПТО!A44</f>
        <v>Обеспечение устранения аварий на внутридомовых инженерных системах в многоквартирном доме</v>
      </c>
      <c r="B33" s="142"/>
      <c r="C33" s="142"/>
      <c r="D33" s="142"/>
      <c r="E33" s="142"/>
      <c r="F33" s="143">
        <f>VLOOKUP(A33,ПТО!$A$39:$D$53,2,FALSE)</f>
        <v>6799.2</v>
      </c>
      <c r="G33" s="143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1"/>
      <c r="L33" s="16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2" t="str">
        <f>ПТО!A45</f>
        <v>Работы по содержанию помещений, входящих в состав общего имущества в многоквартирном доме</v>
      </c>
      <c r="B34" s="142"/>
      <c r="C34" s="142"/>
      <c r="D34" s="142"/>
      <c r="E34" s="142"/>
      <c r="F34" s="143">
        <f>VLOOKUP(A34,ПТО!$A$39:$D$53,2,FALSE)</f>
        <v>28692.6</v>
      </c>
      <c r="G34" s="143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1"/>
      <c r="L34" s="16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2">
        <f>ПТО!A46</f>
        <v>0</v>
      </c>
      <c r="B35" s="142"/>
      <c r="C35" s="142"/>
      <c r="D35" s="142"/>
      <c r="E35" s="142"/>
      <c r="F35" s="143" t="e">
        <f>VLOOKUP(A35,ПТО!$A$39:$D$53,2,FALSE)</f>
        <v>#N/A</v>
      </c>
      <c r="G35" s="143"/>
      <c r="H35" s="42" t="e">
        <f>VLOOKUP(A35,ПТО!$A$39:$D$53,3,FALSE)</f>
        <v>#N/A</v>
      </c>
      <c r="I35" s="144" t="e">
        <f>VLOOKUP(A35,ПТО!$A$39:$D$53,4,FALSE)</f>
        <v>#N/A</v>
      </c>
      <c r="J35" s="144"/>
      <c r="K35" s="111"/>
      <c r="L35" s="166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2">
        <f>ПТО!A47</f>
        <v>0</v>
      </c>
      <c r="B36" s="142"/>
      <c r="C36" s="142"/>
      <c r="D36" s="142"/>
      <c r="E36" s="142"/>
      <c r="F36" s="143" t="e">
        <f>VLOOKUP(A36,ПТО!$A$39:$D$53,2,FALSE)</f>
        <v>#N/A</v>
      </c>
      <c r="G36" s="143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1"/>
      <c r="L36" s="166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2">
        <f>ПТО!A48</f>
        <v>0</v>
      </c>
      <c r="B37" s="142"/>
      <c r="C37" s="142"/>
      <c r="D37" s="142"/>
      <c r="E37" s="142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1"/>
      <c r="L37" s="166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2">
        <f>ПТО!A49</f>
        <v>0</v>
      </c>
      <c r="B38" s="142"/>
      <c r="C38" s="142"/>
      <c r="D38" s="142"/>
      <c r="E38" s="142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1"/>
      <c r="L38" s="166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2">
        <f>ПТО!A50</f>
        <v>0</v>
      </c>
      <c r="B39" s="142"/>
      <c r="C39" s="142"/>
      <c r="D39" s="142"/>
      <c r="E39" s="142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1"/>
      <c r="L39" s="166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2">
        <f>ПТО!A51</f>
        <v>0</v>
      </c>
      <c r="B40" s="142"/>
      <c r="C40" s="142"/>
      <c r="D40" s="142"/>
      <c r="E40" s="142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1"/>
      <c r="L40" s="166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2">
        <f>ПТО!A52</f>
        <v>0</v>
      </c>
      <c r="B41" s="142"/>
      <c r="C41" s="142"/>
      <c r="D41" s="142"/>
      <c r="E41" s="142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1"/>
      <c r="L41" s="166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2">
        <f>ПТО!A53</f>
        <v>0</v>
      </c>
      <c r="B42" s="142"/>
      <c r="C42" s="142"/>
      <c r="D42" s="142"/>
      <c r="E42" s="142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1"/>
      <c r="L42" s="166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2" t="str">
        <f>ПТО!A2</f>
        <v>Техническое обслуживание охранной сигнализации.</v>
      </c>
      <c r="B43" s="142"/>
      <c r="C43" s="142"/>
      <c r="D43" s="142"/>
      <c r="E43" s="142"/>
      <c r="F43" s="143">
        <f>VLOOKUP(A43,ПТО!$A$2:$D$31,4,FALSE)</f>
        <v>5873.0399999999991</v>
      </c>
      <c r="G43" s="143"/>
      <c r="H43" s="19" t="str">
        <f>VLOOKUP(A43,ПТО!$A$2:$D$31,2,FALSE)</f>
        <v>ежемесячно</v>
      </c>
      <c r="I43" s="144">
        <f>VLOOKUP(A43,ПТО!$A$2:$D$31,3,FALSE)</f>
        <v>12</v>
      </c>
      <c r="J43" s="144"/>
      <c r="K43" s="111"/>
      <c r="L43" s="166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2" t="str">
        <f>ПТО!A3</f>
        <v>Приобретение и установка таблички по пожарной безопасности.</v>
      </c>
      <c r="B44" s="142"/>
      <c r="C44" s="142"/>
      <c r="D44" s="142"/>
      <c r="E44" s="142"/>
      <c r="F44" s="143">
        <f>VLOOKUP(A44,ПТО!$A$2:$D$31,4,FALSE)</f>
        <v>250</v>
      </c>
      <c r="G44" s="143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11"/>
      <c r="L44" s="166"/>
      <c r="M44" s="118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2" t="str">
        <f>ПТО!A4</f>
        <v>Приобретение и установка профлиста на приямки.</v>
      </c>
      <c r="B45" s="142"/>
      <c r="C45" s="142"/>
      <c r="D45" s="142"/>
      <c r="E45" s="142"/>
      <c r="F45" s="143">
        <f>VLOOKUP(A45,ПТО!$A$2:$D$31,4,FALSE)</f>
        <v>4650</v>
      </c>
      <c r="G45" s="143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1"/>
      <c r="L45" s="166"/>
      <c r="M45" s="118"/>
      <c r="N45" s="111"/>
      <c r="O45" s="23" t="str">
        <f t="shared" si="1"/>
        <v>Приобретение и установка профлиста на приямки.</v>
      </c>
      <c r="R45" s="22" t="s">
        <v>72</v>
      </c>
    </row>
    <row r="46" spans="1:18" ht="51" customHeight="1" outlineLevel="1">
      <c r="A46" s="142" t="str">
        <f>ПТО!A5</f>
        <v>Замена прибора учета ХВС.</v>
      </c>
      <c r="B46" s="142"/>
      <c r="C46" s="142"/>
      <c r="D46" s="142"/>
      <c r="E46" s="142"/>
      <c r="F46" s="143">
        <f>VLOOKUP(A46,ПТО!$A$2:$D$31,4,FALSE)</f>
        <v>2195</v>
      </c>
      <c r="G46" s="143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11"/>
      <c r="L46" s="166"/>
      <c r="M46" s="118"/>
      <c r="N46" s="111"/>
      <c r="O46" s="23" t="str">
        <f t="shared" si="1"/>
        <v>Замена прибора учета ХВС.</v>
      </c>
      <c r="R46" s="22" t="s">
        <v>72</v>
      </c>
    </row>
    <row r="47" spans="1:18" ht="51" customHeight="1" outlineLevel="1">
      <c r="A47" s="142" t="str">
        <f>ПТО!A6</f>
        <v>Замена прибора учета электрической энергии.</v>
      </c>
      <c r="B47" s="142"/>
      <c r="C47" s="142"/>
      <c r="D47" s="142"/>
      <c r="E47" s="142"/>
      <c r="F47" s="143">
        <f>VLOOKUP(A47,ПТО!$A$2:$D$31,4,FALSE)</f>
        <v>7209</v>
      </c>
      <c r="G47" s="143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11"/>
      <c r="L47" s="166"/>
      <c r="M47" s="118"/>
      <c r="N47" s="111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2" t="str">
        <f>ПТО!A7</f>
        <v>Приобретение и монтаж ячеистого коврика.</v>
      </c>
      <c r="B48" s="142"/>
      <c r="C48" s="142"/>
      <c r="D48" s="142"/>
      <c r="E48" s="142"/>
      <c r="F48" s="143">
        <f>VLOOKUP(A48,ПТО!$A$2:$D$31,4,FALSE)</f>
        <v>2874</v>
      </c>
      <c r="G48" s="143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11"/>
      <c r="L48" s="166"/>
      <c r="M48" s="118"/>
      <c r="N48" s="111"/>
      <c r="O48" s="23" t="str">
        <f t="shared" si="1"/>
        <v>Приобретение и монтаж ячеистого коврика.</v>
      </c>
      <c r="R48" s="22" t="s">
        <v>72</v>
      </c>
    </row>
    <row r="49" spans="1:18" ht="51" hidden="1" customHeight="1" outlineLevel="1">
      <c r="A49" s="142">
        <f>ПТО!A8</f>
        <v>0</v>
      </c>
      <c r="B49" s="142"/>
      <c r="C49" s="142"/>
      <c r="D49" s="142"/>
      <c r="E49" s="142"/>
      <c r="F49" s="143" t="e">
        <f>VLOOKUP(A49,ПТО!$A$2:$D$31,4,FALSE)</f>
        <v>#N/A</v>
      </c>
      <c r="G49" s="143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11"/>
      <c r="L49" s="166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2">
        <f>ПТО!A9</f>
        <v>0</v>
      </c>
      <c r="B50" s="142"/>
      <c r="C50" s="142"/>
      <c r="D50" s="142"/>
      <c r="E50" s="142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1"/>
      <c r="L50" s="166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2">
        <f>ПТО!A10</f>
        <v>0</v>
      </c>
      <c r="B51" s="142"/>
      <c r="C51" s="142"/>
      <c r="D51" s="142"/>
      <c r="E51" s="142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1"/>
      <c r="L51" s="166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2">
        <f>ПТО!A11</f>
        <v>0</v>
      </c>
      <c r="B52" s="142"/>
      <c r="C52" s="142"/>
      <c r="D52" s="142"/>
      <c r="E52" s="142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1"/>
      <c r="L52" s="166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2">
        <f>ПТО!A12</f>
        <v>0</v>
      </c>
      <c r="B53" s="142"/>
      <c r="C53" s="142"/>
      <c r="D53" s="142"/>
      <c r="E53" s="142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1"/>
      <c r="L53" s="166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2">
        <f>ПТО!A13</f>
        <v>0</v>
      </c>
      <c r="B54" s="142"/>
      <c r="C54" s="142"/>
      <c r="D54" s="142"/>
      <c r="E54" s="142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1"/>
      <c r="L54" s="166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2">
        <f>ПТО!A14</f>
        <v>0</v>
      </c>
      <c r="B55" s="142"/>
      <c r="C55" s="142"/>
      <c r="D55" s="142"/>
      <c r="E55" s="142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1"/>
      <c r="L55" s="166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2">
        <f>ПТО!A15</f>
        <v>0</v>
      </c>
      <c r="B56" s="142"/>
      <c r="C56" s="142"/>
      <c r="D56" s="142"/>
      <c r="E56" s="142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1"/>
      <c r="L56" s="166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2">
        <f>ПТО!A16</f>
        <v>0</v>
      </c>
      <c r="B57" s="142"/>
      <c r="C57" s="142"/>
      <c r="D57" s="142"/>
      <c r="E57" s="142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1"/>
      <c r="L57" s="166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2">
        <f>ПТО!A17</f>
        <v>0</v>
      </c>
      <c r="B58" s="142"/>
      <c r="C58" s="142"/>
      <c r="D58" s="142"/>
      <c r="E58" s="142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1"/>
      <c r="L58" s="166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2">
        <f>ПТО!A18</f>
        <v>0</v>
      </c>
      <c r="B59" s="142"/>
      <c r="C59" s="142"/>
      <c r="D59" s="142"/>
      <c r="E59" s="142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1"/>
      <c r="L59" s="166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2">
        <f>ПТО!A19</f>
        <v>0</v>
      </c>
      <c r="B60" s="142"/>
      <c r="C60" s="142"/>
      <c r="D60" s="142"/>
      <c r="E60" s="142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1"/>
      <c r="L60" s="166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2">
        <f>ПТО!A20</f>
        <v>0</v>
      </c>
      <c r="B61" s="142"/>
      <c r="C61" s="142"/>
      <c r="D61" s="142"/>
      <c r="E61" s="142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1"/>
      <c r="L61" s="166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2">
        <f>ПТО!A21</f>
        <v>0</v>
      </c>
      <c r="B62" s="142"/>
      <c r="C62" s="142"/>
      <c r="D62" s="142"/>
      <c r="E62" s="142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1"/>
      <c r="L62" s="166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2">
        <f>ПТО!A22</f>
        <v>0</v>
      </c>
      <c r="B63" s="142"/>
      <c r="C63" s="142"/>
      <c r="D63" s="142"/>
      <c r="E63" s="142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1"/>
      <c r="L63" s="166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2">
        <f>ПТО!A23</f>
        <v>0</v>
      </c>
      <c r="B64" s="142"/>
      <c r="C64" s="142"/>
      <c r="D64" s="142"/>
      <c r="E64" s="142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1"/>
      <c r="L64" s="166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2">
        <f>ПТО!A24</f>
        <v>0</v>
      </c>
      <c r="B65" s="142"/>
      <c r="C65" s="142"/>
      <c r="D65" s="142"/>
      <c r="E65" s="142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1"/>
      <c r="L65" s="166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2">
        <f>ПТО!A25</f>
        <v>0</v>
      </c>
      <c r="B66" s="142"/>
      <c r="C66" s="142"/>
      <c r="D66" s="142"/>
      <c r="E66" s="142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1"/>
      <c r="L66" s="166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2">
        <f>ПТО!A26</f>
        <v>0</v>
      </c>
      <c r="B67" s="142"/>
      <c r="C67" s="142"/>
      <c r="D67" s="142"/>
      <c r="E67" s="142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1"/>
      <c r="L67" s="166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2">
        <f>ПТО!A27</f>
        <v>0</v>
      </c>
      <c r="B68" s="142"/>
      <c r="C68" s="142"/>
      <c r="D68" s="142"/>
      <c r="E68" s="142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1"/>
      <c r="L68" s="166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2">
        <f>ПТО!A28</f>
        <v>0</v>
      </c>
      <c r="B69" s="142"/>
      <c r="C69" s="142"/>
      <c r="D69" s="142"/>
      <c r="E69" s="142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1"/>
      <c r="L69" s="166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2">
        <f>ПТО!A29</f>
        <v>0</v>
      </c>
      <c r="B70" s="142"/>
      <c r="C70" s="142"/>
      <c r="D70" s="142"/>
      <c r="E70" s="142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1"/>
      <c r="L70" s="166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2">
        <f>ПТО!A30</f>
        <v>0</v>
      </c>
      <c r="B71" s="142"/>
      <c r="C71" s="142"/>
      <c r="D71" s="142"/>
      <c r="E71" s="142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8"/>
      <c r="L71" s="166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2">
        <f>ПТО!A31</f>
        <v>0</v>
      </c>
      <c r="B72" s="142"/>
      <c r="C72" s="142"/>
      <c r="D72" s="142"/>
      <c r="E72" s="142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1"/>
      <c r="L72" s="166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0" t="s">
        <v>27</v>
      </c>
      <c r="B75" s="160"/>
      <c r="C75" s="160"/>
      <c r="D75" s="160"/>
      <c r="E75" s="160"/>
      <c r="F75" s="160"/>
      <c r="G75" s="160"/>
      <c r="H75" s="160"/>
      <c r="I75" s="160"/>
      <c r="J75" s="8">
        <f>VLOOKUP(O75,АО,3,FALSE)</f>
        <v>0</v>
      </c>
      <c r="K75" s="111"/>
      <c r="L75" s="149"/>
      <c r="M75" s="111"/>
      <c r="N75" s="111"/>
      <c r="O75" s="71" t="s">
        <v>98</v>
      </c>
    </row>
    <row r="76" spans="1:16384" ht="18.75" customHeight="1" outlineLevel="1">
      <c r="A76" s="160" t="s">
        <v>28</v>
      </c>
      <c r="B76" s="160"/>
      <c r="C76" s="160"/>
      <c r="D76" s="160"/>
      <c r="E76" s="160"/>
      <c r="F76" s="160"/>
      <c r="G76" s="160"/>
      <c r="H76" s="160"/>
      <c r="I76" s="160"/>
      <c r="J76" s="8">
        <f>VLOOKUP(O76,АО,3,FALSE)</f>
        <v>0</v>
      </c>
      <c r="K76" s="111"/>
      <c r="L76" s="149"/>
      <c r="M76" s="111"/>
      <c r="N76" s="111"/>
      <c r="O76" s="71" t="s">
        <v>99</v>
      </c>
    </row>
    <row r="77" spans="1:16384" ht="21.75" customHeight="1" outlineLevel="1">
      <c r="A77" s="160" t="s">
        <v>29</v>
      </c>
      <c r="B77" s="160"/>
      <c r="C77" s="160"/>
      <c r="D77" s="160"/>
      <c r="E77" s="160"/>
      <c r="F77" s="160"/>
      <c r="G77" s="160"/>
      <c r="H77" s="160"/>
      <c r="I77" s="160"/>
      <c r="J77" s="8">
        <f>VLOOKUP(O77,АО,3,FALSE)</f>
        <v>0</v>
      </c>
      <c r="K77" s="111"/>
      <c r="L77" s="149"/>
      <c r="M77" s="111"/>
      <c r="N77" s="111"/>
      <c r="O77" s="71" t="s">
        <v>100</v>
      </c>
    </row>
    <row r="78" spans="1:16384" ht="18.75" customHeight="1" outlineLevel="1">
      <c r="A78" s="160" t="s">
        <v>30</v>
      </c>
      <c r="B78" s="160"/>
      <c r="C78" s="160"/>
      <c r="D78" s="160"/>
      <c r="E78" s="160"/>
      <c r="F78" s="160"/>
      <c r="G78" s="160"/>
      <c r="H78" s="160"/>
      <c r="I78" s="160"/>
      <c r="J78" s="98">
        <f>VLOOKUP(O78,АО,3,FALSE)</f>
        <v>0</v>
      </c>
      <c r="K78" s="111"/>
      <c r="L78" s="149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8">
        <f t="shared" ref="J81:J90" si="2">VLOOKUP(O81,АО,3,FALSE)</f>
        <v>0</v>
      </c>
      <c r="K81" s="111"/>
      <c r="L81" s="167"/>
      <c r="M81" s="111"/>
      <c r="N81" s="111"/>
      <c r="O81" s="71" t="s">
        <v>102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8">
        <f t="shared" si="2"/>
        <v>0</v>
      </c>
      <c r="K82" s="111"/>
      <c r="L82" s="167"/>
      <c r="M82" s="111"/>
      <c r="N82" s="111"/>
      <c r="O82" s="71" t="s">
        <v>103</v>
      </c>
    </row>
    <row r="83" spans="1:15" outlineLevel="1">
      <c r="A83" s="157" t="s">
        <v>4</v>
      </c>
      <c r="B83" s="158"/>
      <c r="C83" s="158"/>
      <c r="D83" s="158"/>
      <c r="E83" s="158"/>
      <c r="F83" s="158"/>
      <c r="G83" s="158"/>
      <c r="H83" s="158"/>
      <c r="I83" s="159"/>
      <c r="J83" s="98">
        <f t="shared" si="2"/>
        <v>64780.25</v>
      </c>
      <c r="K83" s="111"/>
      <c r="L83" s="167"/>
      <c r="M83" s="111"/>
      <c r="N83" s="111"/>
      <c r="O83" s="71" t="s">
        <v>104</v>
      </c>
    </row>
    <row r="84" spans="1:15" outlineLevel="1">
      <c r="A84" s="157" t="s">
        <v>16</v>
      </c>
      <c r="B84" s="158"/>
      <c r="C84" s="158"/>
      <c r="D84" s="158"/>
      <c r="E84" s="158"/>
      <c r="F84" s="158"/>
      <c r="G84" s="158"/>
      <c r="H84" s="158"/>
      <c r="I84" s="159"/>
      <c r="J84" s="98">
        <f t="shared" si="2"/>
        <v>0</v>
      </c>
      <c r="K84" s="111"/>
      <c r="L84" s="167"/>
      <c r="M84" s="111"/>
      <c r="N84" s="111"/>
      <c r="O84" s="71" t="s">
        <v>105</v>
      </c>
    </row>
    <row r="85" spans="1:15" outlineLevel="1">
      <c r="A85" s="157" t="s">
        <v>17</v>
      </c>
      <c r="B85" s="158"/>
      <c r="C85" s="158"/>
      <c r="D85" s="158"/>
      <c r="E85" s="158"/>
      <c r="F85" s="158"/>
      <c r="G85" s="158"/>
      <c r="H85" s="158"/>
      <c r="I85" s="159"/>
      <c r="J85" s="98">
        <f t="shared" si="2"/>
        <v>0</v>
      </c>
      <c r="K85" s="111"/>
      <c r="L85" s="167"/>
      <c r="M85" s="111"/>
      <c r="N85" s="111"/>
      <c r="O85" s="71" t="s">
        <v>106</v>
      </c>
    </row>
    <row r="86" spans="1:15" outlineLevel="1">
      <c r="A86" s="157" t="s">
        <v>18</v>
      </c>
      <c r="B86" s="158"/>
      <c r="C86" s="158"/>
      <c r="D86" s="158"/>
      <c r="E86" s="158"/>
      <c r="F86" s="158"/>
      <c r="G86" s="158"/>
      <c r="H86" s="158"/>
      <c r="I86" s="159"/>
      <c r="J86" s="98">
        <f t="shared" si="2"/>
        <v>59692.74</v>
      </c>
      <c r="K86" s="111"/>
      <c r="L86" s="167"/>
      <c r="M86" s="111"/>
      <c r="N86" s="111"/>
      <c r="O86" s="71" t="s">
        <v>107</v>
      </c>
    </row>
    <row r="87" spans="1:15" ht="18.75" customHeight="1" outlineLevel="1">
      <c r="A87" s="157" t="s">
        <v>27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11"/>
      <c r="L87" s="167"/>
      <c r="M87" s="111"/>
      <c r="N87" s="111"/>
      <c r="O87" s="71" t="s">
        <v>108</v>
      </c>
    </row>
    <row r="88" spans="1:15" ht="18.75" customHeight="1" outlineLevel="1">
      <c r="A88" s="157" t="s">
        <v>28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11"/>
      <c r="L88" s="167"/>
      <c r="M88" s="111"/>
      <c r="N88" s="111"/>
      <c r="O88" s="71" t="s">
        <v>109</v>
      </c>
    </row>
    <row r="89" spans="1:15" ht="18.75" customHeight="1" outlineLevel="1">
      <c r="A89" s="157" t="s">
        <v>29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11"/>
      <c r="L89" s="167"/>
      <c r="M89" s="111"/>
      <c r="N89" s="111"/>
      <c r="O89" s="71" t="s">
        <v>110</v>
      </c>
    </row>
    <row r="90" spans="1:15" ht="18.75" customHeight="1" outlineLevel="1">
      <c r="A90" s="157" t="s">
        <v>30</v>
      </c>
      <c r="B90" s="158"/>
      <c r="C90" s="158"/>
      <c r="D90" s="158"/>
      <c r="E90" s="158"/>
      <c r="F90" s="158"/>
      <c r="G90" s="158"/>
      <c r="H90" s="158"/>
      <c r="I90" s="159"/>
      <c r="J90" s="98">
        <f t="shared" si="2"/>
        <v>0</v>
      </c>
      <c r="K90" s="111"/>
      <c r="L90" s="167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1" t="s">
        <v>48</v>
      </c>
      <c r="B93" s="151"/>
      <c r="C93" s="151"/>
      <c r="D93" s="154" t="s">
        <v>49</v>
      </c>
      <c r="E93" s="154"/>
      <c r="F93" s="10" t="s">
        <v>50</v>
      </c>
      <c r="G93" s="151" t="s">
        <v>51</v>
      </c>
      <c r="H93" s="151"/>
      <c r="I93" s="151"/>
      <c r="J93" s="151"/>
      <c r="K93" s="111"/>
      <c r="L93" s="111"/>
      <c r="M93" s="111"/>
      <c r="N93" s="111"/>
    </row>
    <row r="94" spans="1:15" outlineLevel="1">
      <c r="A94" s="155" t="str">
        <f>IF(VLOOKUP("эл",АО,3,FALSE)&gt;0,"Электроснабжение",0)</f>
        <v>Электроснабжение</v>
      </c>
      <c r="B94" s="155"/>
      <c r="C94" s="155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2">
        <f>VLOOKUP("эл",АО,5,FALSE)</f>
        <v>88026.079999999987</v>
      </c>
      <c r="H94" s="153"/>
      <c r="I94" s="153"/>
      <c r="J94" s="153"/>
      <c r="K94" s="1" t="str">
        <f>VLOOKUP("эл",АО,2,FALSE)</f>
        <v>Электроснабжение</v>
      </c>
      <c r="L94" s="168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77215.859649122809</v>
      </c>
      <c r="L95" s="168"/>
      <c r="O95" s="1" t="s">
        <v>112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85272.54</v>
      </c>
      <c r="L96" s="168"/>
      <c r="O96" s="1" t="s">
        <v>113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2753.5399999999936</v>
      </c>
      <c r="L97" s="168"/>
      <c r="O97" s="1" t="s">
        <v>114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88026.079999999987</v>
      </c>
      <c r="L98" s="168"/>
      <c r="O98" s="1" t="s">
        <v>115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88026.079999999987</v>
      </c>
      <c r="L99" s="168"/>
      <c r="O99" s="1" t="s">
        <v>116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68"/>
      <c r="O100" s="1" t="s">
        <v>117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68"/>
      <c r="O101" s="1" t="s">
        <v>118</v>
      </c>
    </row>
    <row r="102" spans="1:15" ht="28.5" customHeight="1" outlineLevel="1">
      <c r="A102" s="155" t="str">
        <f>IF(VLOOKUP("хвс",АО,3,FALSE)&gt;0,"Холодное водоснабжение",0)</f>
        <v>Холодное водоснабжение</v>
      </c>
      <c r="B102" s="155"/>
      <c r="C102" s="155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2">
        <f>VLOOKUP("хвс",АО,5,FALSE)</f>
        <v>41347.53</v>
      </c>
      <c r="H102" s="153"/>
      <c r="I102" s="153"/>
      <c r="J102" s="153"/>
      <c r="L102" s="168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3055.9889135254989</v>
      </c>
      <c r="L103" s="168"/>
      <c r="O103" s="1" t="s">
        <v>121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43920.56</v>
      </c>
      <c r="L104" s="168"/>
      <c r="O104" s="1" t="s">
        <v>122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0</v>
      </c>
      <c r="L105" s="168"/>
      <c r="O105" s="1" t="s">
        <v>123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41347.53</v>
      </c>
      <c r="L106" s="168"/>
      <c r="O106" s="1" t="s">
        <v>124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41347.53</v>
      </c>
      <c r="L107" s="168"/>
      <c r="O107" s="1" t="s">
        <v>125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68"/>
      <c r="O108" s="1" t="s">
        <v>126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68"/>
      <c r="O109" s="1" t="s">
        <v>127</v>
      </c>
    </row>
    <row r="110" spans="1:15" ht="27" customHeight="1" outlineLevel="1">
      <c r="A110" s="155" t="str">
        <f>IF(VLOOKUP("воо",АО,3,FALSE)&gt;0,"Водоотведение",0)</f>
        <v>Водоотведение</v>
      </c>
      <c r="B110" s="155"/>
      <c r="C110" s="155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2">
        <f>VLOOKUP("воо",АО,5,FALSE)</f>
        <v>47916.98</v>
      </c>
      <c r="H110" s="153"/>
      <c r="I110" s="153"/>
      <c r="J110" s="153"/>
      <c r="L110" s="168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3105.4426441996115</v>
      </c>
      <c r="L111" s="168"/>
      <c r="O111" s="1" t="s">
        <v>129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49160.969999999994</v>
      </c>
      <c r="L112" s="168"/>
      <c r="O112" s="1" t="s">
        <v>130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0</v>
      </c>
      <c r="L113" s="168"/>
      <c r="O113" s="1" t="s">
        <v>131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47916.98</v>
      </c>
      <c r="L114" s="168"/>
      <c r="O114" s="1" t="s">
        <v>132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47916.98</v>
      </c>
      <c r="L115" s="168"/>
      <c r="O115" s="1" t="s">
        <v>133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68"/>
      <c r="O116" s="1" t="s">
        <v>134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68"/>
      <c r="O117" s="1" t="s">
        <v>135</v>
      </c>
    </row>
    <row r="118" spans="1:15" ht="32.25" hidden="1" customHeight="1" outlineLevel="1">
      <c r="A118" s="155">
        <f>IF(VLOOKUP("тко",АО,3,FALSE)&gt;0,"Обращение с ТКО",0)</f>
        <v>0</v>
      </c>
      <c r="B118" s="155"/>
      <c r="C118" s="155"/>
      <c r="D118" s="153">
        <f>IF(VLOOKUP("тко",АО,3,FALSE)&gt;0,VLOOKUP("тко",АО,3,FALSE),0)</f>
        <v>0</v>
      </c>
      <c r="E118" s="153"/>
      <c r="F118" s="13">
        <f>IF(VLOOKUP("тко",АО,3,FALSE)&gt;0,VLOOKUP("тко",АО,4,FALSE),0)</f>
        <v>0</v>
      </c>
      <c r="G118" s="152">
        <f>VLOOKUP("тко",АО,5,FALSE)</f>
        <v>0</v>
      </c>
      <c r="H118" s="153"/>
      <c r="I118" s="153"/>
      <c r="J118" s="153"/>
      <c r="L118" s="48"/>
    </row>
    <row r="119" spans="1:15" ht="32.25" hidden="1" customHeight="1" outlineLevel="2">
      <c r="A119" s="150">
        <f t="shared" ref="A119:A125" si="8">IF(VLOOKUP("тко",АО,3,FALSE)&gt;0,VLOOKUP(O119,АО,2,FALSE),0)</f>
        <v>0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0">
        <f t="shared" si="8"/>
        <v>0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0">
        <f t="shared" si="8"/>
        <v>0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0">
        <f t="shared" si="8"/>
        <v>0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0">
        <f t="shared" si="8"/>
        <v>0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0">
        <f t="shared" si="8"/>
        <v>0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0">
        <f t="shared" si="8"/>
        <v>0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5">
        <f>IF(VLOOKUP("гвс",АО,3,FALSE)&gt;0,"Горячее водоснабжение",0)</f>
        <v>0</v>
      </c>
      <c r="B126" s="155"/>
      <c r="C126" s="155"/>
      <c r="D126" s="153">
        <f>IF(VLOOKUP("гвс",АО,3,FALSE)&gt;0,VLOOKUP("гвс",АО,3,FALSE),0)</f>
        <v>0</v>
      </c>
      <c r="E126" s="153"/>
      <c r="F126" s="13">
        <f>IF(VLOOKUP("гвс",АО,3,FALSE)&gt;0,VLOOKUP("гвс",АО,4,FALSE),0)</f>
        <v>0</v>
      </c>
      <c r="G126" s="152">
        <f>VLOOKUP("гвс",АО,5,FALSE)</f>
        <v>0</v>
      </c>
      <c r="H126" s="153"/>
      <c r="I126" s="153"/>
      <c r="J126" s="153"/>
      <c r="L126" s="48"/>
    </row>
    <row r="127" spans="1:15" ht="32.25" hidden="1" customHeight="1" outlineLevel="2">
      <c r="A127" s="150">
        <f t="shared" ref="A127:A133" si="10">IF(VLOOKUP("гвс",АО,3,FALSE)&gt;0,VLOOKUP(O127,АО,2,FALSE),0)</f>
        <v>0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50">
        <f t="shared" si="10"/>
        <v>0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50">
        <f t="shared" si="10"/>
        <v>0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50">
        <f t="shared" si="10"/>
        <v>0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50">
        <f t="shared" si="10"/>
        <v>0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50">
        <f t="shared" si="10"/>
        <v>0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50">
        <f t="shared" si="10"/>
        <v>0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5">
        <f>IF(VLOOKUP("отопление",АО,3,FALSE)&gt;0,"Отопление",0)</f>
        <v>0</v>
      </c>
      <c r="B134" s="155"/>
      <c r="C134" s="155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3"/>
      <c r="I134" s="153"/>
      <c r="J134" s="153"/>
      <c r="L134" s="48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169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0" t="s">
        <v>172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0</v>
      </c>
      <c r="O146" t="s">
        <v>171</v>
      </c>
    </row>
    <row r="149" spans="1:15" ht="52.5" customHeight="1">
      <c r="A149" s="146" t="s">
        <v>181</v>
      </c>
      <c r="B149" s="146"/>
      <c r="C149" s="146"/>
      <c r="D149" s="146"/>
      <c r="E149" s="146"/>
      <c r="F149" s="146"/>
      <c r="G149" s="146"/>
      <c r="H149" s="146"/>
      <c r="I149" s="146"/>
      <c r="J149" s="14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5" t="s">
        <v>182</v>
      </c>
      <c r="B154" s="145"/>
      <c r="C154" s="145"/>
      <c r="D154" s="145"/>
      <c r="E154" s="27">
        <f>ПТО!G1</f>
        <v>-52507.94</v>
      </c>
    </row>
    <row r="155" spans="1:15" ht="34.5" customHeight="1">
      <c r="A155" s="147" t="s">
        <v>184</v>
      </c>
      <c r="B155" s="147"/>
      <c r="C155" s="147"/>
      <c r="D155" s="147"/>
      <c r="E155" s="28">
        <f>J13</f>
        <v>74111.28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19</v>
      </c>
      <c r="B157" s="148"/>
      <c r="C157" s="148"/>
      <c r="D157" s="148"/>
      <c r="E157" s="148"/>
      <c r="F157" s="148" t="s">
        <v>20</v>
      </c>
      <c r="G157" s="148"/>
      <c r="H157" s="20" t="s">
        <v>57</v>
      </c>
      <c r="I157" s="148" t="s">
        <v>21</v>
      </c>
      <c r="J157" s="148"/>
    </row>
    <row r="158" spans="1:15" ht="29.25" customHeight="1">
      <c r="A158" s="142" t="str">
        <f t="shared" ref="A158:A163" si="14">IF(N158&gt;0,N158,0)</f>
        <v>Техническое обслуживание охранной сигнализации.</v>
      </c>
      <c r="B158" s="142"/>
      <c r="C158" s="142"/>
      <c r="D158" s="142"/>
      <c r="E158" s="142"/>
      <c r="F158" s="143">
        <f t="shared" ref="F158:F163" si="15">IF(ISERROR(VLOOKUP(A158,$A$28:$J$72,6,FALSE)),0,VLOOKUP(A158,$A$28:$J$72,6,FALSE))</f>
        <v>5873.0399999999991</v>
      </c>
      <c r="G158" s="143"/>
      <c r="H158" s="24" t="str">
        <f t="shared" ref="H158:H187" si="16">VLOOKUP(A158,$A$28:$J$72,8,FALSE)</f>
        <v>ежемесячно</v>
      </c>
      <c r="I158" s="144">
        <f t="shared" ref="I158:I161" si="17">VLOOKUP(A158,$A$28:$J$72,9,FALSE)</f>
        <v>12</v>
      </c>
      <c r="J158" s="14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2" t="str">
        <f t="shared" si="14"/>
        <v>Приобретение и установка таблички по пожарной безопасности.</v>
      </c>
      <c r="B159" s="142"/>
      <c r="C159" s="142"/>
      <c r="D159" s="142"/>
      <c r="E159" s="142"/>
      <c r="F159" s="143">
        <f t="shared" si="15"/>
        <v>250</v>
      </c>
      <c r="G159" s="143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2" t="str">
        <f t="shared" si="14"/>
        <v>Приобретение и установка профлиста на приямки.</v>
      </c>
      <c r="B160" s="142"/>
      <c r="C160" s="142"/>
      <c r="D160" s="142"/>
      <c r="E160" s="142"/>
      <c r="F160" s="143">
        <f t="shared" si="15"/>
        <v>4650</v>
      </c>
      <c r="G160" s="143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Приобретение и установка профлиста на приямки.</v>
      </c>
    </row>
    <row r="161" spans="1:14" ht="28.5" customHeight="1">
      <c r="A161" s="142" t="str">
        <f>IF(N161&gt;0,N161,0)</f>
        <v>Замена прибора учета ХВС.</v>
      </c>
      <c r="B161" s="142"/>
      <c r="C161" s="142"/>
      <c r="D161" s="142"/>
      <c r="E161" s="142"/>
      <c r="F161" s="143">
        <f t="shared" si="15"/>
        <v>2195</v>
      </c>
      <c r="G161" s="143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Замена прибора учета ХВС.</v>
      </c>
    </row>
    <row r="162" spans="1:14" ht="28.5" customHeight="1">
      <c r="A162" s="142" t="str">
        <f t="shared" si="14"/>
        <v>Замена прибора учета электрической энергии.</v>
      </c>
      <c r="B162" s="142"/>
      <c r="C162" s="142"/>
      <c r="D162" s="142"/>
      <c r="E162" s="142"/>
      <c r="F162" s="143">
        <f t="shared" si="15"/>
        <v>7209</v>
      </c>
      <c r="G162" s="143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2" t="str">
        <f t="shared" si="14"/>
        <v>Приобретение и монтаж ячеистого коврика.</v>
      </c>
      <c r="B163" s="142"/>
      <c r="C163" s="142"/>
      <c r="D163" s="142"/>
      <c r="E163" s="142"/>
      <c r="F163" s="143">
        <f t="shared" si="15"/>
        <v>2874</v>
      </c>
      <c r="G163" s="143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72</v>
      </c>
      <c r="N163" s="1" t="str">
        <v>Приобретение и монтаж ячеистого коврика.</v>
      </c>
    </row>
    <row r="164" spans="1:14" ht="28.5" hidden="1" customHeight="1">
      <c r="A164" s="142">
        <f t="shared" ref="A164:A187" si="18">IF(N164&gt;0,N164,0)</f>
        <v>0</v>
      </c>
      <c r="B164" s="142"/>
      <c r="C164" s="142"/>
      <c r="D164" s="142"/>
      <c r="E164" s="142"/>
      <c r="F164" s="143">
        <f t="shared" ref="F164:F187" si="19">IF(ISERROR(VLOOKUP(A164,$A$28:$J$72,6,FALSE)),0,VLOOKUP(A164,$A$28:$J$72,6,FALSE))</f>
        <v>0</v>
      </c>
      <c r="G164" s="143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2">
        <f t="shared" si="18"/>
        <v>0</v>
      </c>
      <c r="B165" s="142"/>
      <c r="C165" s="142"/>
      <c r="D165" s="142"/>
      <c r="E165" s="142"/>
      <c r="F165" s="143">
        <f t="shared" si="19"/>
        <v>0</v>
      </c>
      <c r="G165" s="143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2">
        <f t="shared" si="18"/>
        <v>0</v>
      </c>
      <c r="B166" s="142"/>
      <c r="C166" s="142"/>
      <c r="D166" s="142"/>
      <c r="E166" s="142"/>
      <c r="F166" s="143">
        <f t="shared" si="19"/>
        <v>0</v>
      </c>
      <c r="G166" s="143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2">
        <f t="shared" si="18"/>
        <v>0</v>
      </c>
      <c r="B167" s="142"/>
      <c r="C167" s="142"/>
      <c r="D167" s="142"/>
      <c r="E167" s="142"/>
      <c r="F167" s="143">
        <f t="shared" si="19"/>
        <v>0</v>
      </c>
      <c r="G167" s="143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2">
        <f t="shared" si="18"/>
        <v>0</v>
      </c>
      <c r="B168" s="142"/>
      <c r="C168" s="142"/>
      <c r="D168" s="142"/>
      <c r="E168" s="142"/>
      <c r="F168" s="143">
        <f t="shared" si="19"/>
        <v>0</v>
      </c>
      <c r="G168" s="143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2">
        <f t="shared" si="18"/>
        <v>0</v>
      </c>
      <c r="B169" s="142"/>
      <c r="C169" s="142"/>
      <c r="D169" s="142"/>
      <c r="E169" s="142"/>
      <c r="F169" s="143">
        <f t="shared" si="19"/>
        <v>0</v>
      </c>
      <c r="G169" s="143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2">
        <f t="shared" si="18"/>
        <v>0</v>
      </c>
      <c r="B170" s="142"/>
      <c r="C170" s="142"/>
      <c r="D170" s="142"/>
      <c r="E170" s="142"/>
      <c r="F170" s="143">
        <f t="shared" si="19"/>
        <v>0</v>
      </c>
      <c r="G170" s="143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2">
        <f t="shared" si="18"/>
        <v>0</v>
      </c>
      <c r="B171" s="142"/>
      <c r="C171" s="142"/>
      <c r="D171" s="142"/>
      <c r="E171" s="142"/>
      <c r="F171" s="143">
        <f t="shared" si="19"/>
        <v>0</v>
      </c>
      <c r="G171" s="143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2">
        <f t="shared" si="18"/>
        <v>0</v>
      </c>
      <c r="B172" s="142"/>
      <c r="C172" s="142"/>
      <c r="D172" s="142"/>
      <c r="E172" s="142"/>
      <c r="F172" s="143">
        <f t="shared" si="19"/>
        <v>0</v>
      </c>
      <c r="G172" s="143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2">
        <f t="shared" si="18"/>
        <v>0</v>
      </c>
      <c r="B173" s="142"/>
      <c r="C173" s="142"/>
      <c r="D173" s="142"/>
      <c r="E173" s="142"/>
      <c r="F173" s="143">
        <f t="shared" si="19"/>
        <v>0</v>
      </c>
      <c r="G173" s="143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2">
        <f t="shared" si="18"/>
        <v>0</v>
      </c>
      <c r="B174" s="142"/>
      <c r="C174" s="142"/>
      <c r="D174" s="142"/>
      <c r="E174" s="142"/>
      <c r="F174" s="143">
        <f t="shared" si="19"/>
        <v>0</v>
      </c>
      <c r="G174" s="143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2">
        <f t="shared" si="18"/>
        <v>0</v>
      </c>
      <c r="B175" s="142"/>
      <c r="C175" s="142"/>
      <c r="D175" s="142"/>
      <c r="E175" s="142"/>
      <c r="F175" s="143">
        <f t="shared" si="19"/>
        <v>0</v>
      </c>
      <c r="G175" s="143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2">
        <f t="shared" si="18"/>
        <v>0</v>
      </c>
      <c r="B176" s="142"/>
      <c r="C176" s="142"/>
      <c r="D176" s="142"/>
      <c r="E176" s="142"/>
      <c r="F176" s="143">
        <f t="shared" si="19"/>
        <v>0</v>
      </c>
      <c r="G176" s="143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2">
        <f t="shared" si="18"/>
        <v>0</v>
      </c>
      <c r="B177" s="142"/>
      <c r="C177" s="142"/>
      <c r="D177" s="142"/>
      <c r="E177" s="142"/>
      <c r="F177" s="143">
        <f t="shared" si="19"/>
        <v>0</v>
      </c>
      <c r="G177" s="143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2">
        <f t="shared" si="18"/>
        <v>0</v>
      </c>
      <c r="B178" s="142"/>
      <c r="C178" s="142"/>
      <c r="D178" s="142"/>
      <c r="E178" s="142"/>
      <c r="F178" s="143">
        <f t="shared" si="19"/>
        <v>0</v>
      </c>
      <c r="G178" s="143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2">
        <f t="shared" si="18"/>
        <v>0</v>
      </c>
      <c r="B179" s="142"/>
      <c r="C179" s="142"/>
      <c r="D179" s="142"/>
      <c r="E179" s="142"/>
      <c r="F179" s="143">
        <f t="shared" si="19"/>
        <v>0</v>
      </c>
      <c r="G179" s="143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2">
        <f t="shared" si="18"/>
        <v>0</v>
      </c>
      <c r="B180" s="142"/>
      <c r="C180" s="142"/>
      <c r="D180" s="142"/>
      <c r="E180" s="142"/>
      <c r="F180" s="143">
        <f t="shared" si="19"/>
        <v>0</v>
      </c>
      <c r="G180" s="143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2">
        <f t="shared" si="18"/>
        <v>0</v>
      </c>
      <c r="B181" s="142"/>
      <c r="C181" s="142"/>
      <c r="D181" s="142"/>
      <c r="E181" s="142"/>
      <c r="F181" s="143">
        <f t="shared" si="19"/>
        <v>0</v>
      </c>
      <c r="G181" s="143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2">
        <f t="shared" si="18"/>
        <v>0</v>
      </c>
      <c r="B182" s="142"/>
      <c r="C182" s="142"/>
      <c r="D182" s="142"/>
      <c r="E182" s="142"/>
      <c r="F182" s="143">
        <f t="shared" si="19"/>
        <v>0</v>
      </c>
      <c r="G182" s="143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2">
        <f t="shared" si="18"/>
        <v>0</v>
      </c>
      <c r="B183" s="142"/>
      <c r="C183" s="142"/>
      <c r="D183" s="142"/>
      <c r="E183" s="142"/>
      <c r="F183" s="143">
        <f t="shared" si="19"/>
        <v>0</v>
      </c>
      <c r="G183" s="143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2">
        <f t="shared" si="18"/>
        <v>0</v>
      </c>
      <c r="B184" s="142"/>
      <c r="C184" s="142"/>
      <c r="D184" s="142"/>
      <c r="E184" s="142"/>
      <c r="F184" s="143">
        <f t="shared" si="19"/>
        <v>0</v>
      </c>
      <c r="G184" s="143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2">
        <f t="shared" si="18"/>
        <v>0</v>
      </c>
      <c r="B185" s="142"/>
      <c r="C185" s="142"/>
      <c r="D185" s="142"/>
      <c r="E185" s="142"/>
      <c r="F185" s="143">
        <f t="shared" si="19"/>
        <v>0</v>
      </c>
      <c r="G185" s="143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2">
        <f>IF(N186&gt;0,N186,0)</f>
        <v>0</v>
      </c>
      <c r="B186" s="142"/>
      <c r="C186" s="142"/>
      <c r="D186" s="142"/>
      <c r="E186" s="142"/>
      <c r="F186" s="143">
        <f t="shared" si="19"/>
        <v>0</v>
      </c>
      <c r="G186" s="143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2">
        <f t="shared" si="18"/>
        <v>0</v>
      </c>
      <c r="B187" s="142"/>
      <c r="C187" s="142"/>
      <c r="D187" s="142"/>
      <c r="E187" s="142"/>
      <c r="F187" s="143">
        <f t="shared" si="19"/>
        <v>0</v>
      </c>
      <c r="G187" s="143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45" t="s">
        <v>185</v>
      </c>
      <c r="B190" s="145"/>
      <c r="C190" s="145"/>
      <c r="D190" s="145"/>
      <c r="E190" s="27">
        <f>SUM(F158:G187)</f>
        <v>23051.040000000001</v>
      </c>
    </row>
    <row r="191" spans="1:14" ht="51.75" customHeight="1">
      <c r="A191" s="145" t="s">
        <v>186</v>
      </c>
      <c r="B191" s="145"/>
      <c r="C191" s="145"/>
      <c r="D191" s="145"/>
      <c r="E191" s="27">
        <f>E190+E154-E155</f>
        <v>-103568.18</v>
      </c>
    </row>
    <row r="192" spans="1:14">
      <c r="A192" s="106" t="s">
        <v>173</v>
      </c>
    </row>
    <row r="193" spans="1:10" ht="62.25" customHeight="1">
      <c r="A193" s="170" t="s">
        <v>183</v>
      </c>
      <c r="B193" s="170"/>
      <c r="C193" s="170"/>
      <c r="D193" s="170"/>
      <c r="E193" s="170"/>
      <c r="F193" s="170"/>
      <c r="G193" s="170"/>
      <c r="H193" s="170"/>
      <c r="I193" s="170"/>
      <c r="J193" s="170"/>
    </row>
    <row r="194" spans="1:10">
      <c r="A194" s="169" t="str">
        <f>ПТО!F12</f>
        <v xml:space="preserve">  -  поверка (замена) манометров и термометров</v>
      </c>
      <c r="B194" s="169"/>
      <c r="C194" s="169"/>
      <c r="D194" s="169"/>
      <c r="E194" s="169"/>
      <c r="F194" s="169"/>
      <c r="G194" s="169"/>
      <c r="H194" s="50">
        <f>ПТО!G12</f>
        <v>1200</v>
      </c>
      <c r="I194" s="51" t="s">
        <v>74</v>
      </c>
    </row>
    <row r="195" spans="1:10" ht="18.75" customHeight="1">
      <c r="A195" s="169" t="str">
        <f>ПТО!F13</f>
        <v xml:space="preserve">  -  техническое обслуживание охранной сигнализации</v>
      </c>
      <c r="B195" s="169"/>
      <c r="C195" s="169"/>
      <c r="D195" s="169"/>
      <c r="E195" s="169"/>
      <c r="F195" s="169"/>
      <c r="G195" s="169"/>
      <c r="H195" s="50">
        <f>ПТО!G13</f>
        <v>5900</v>
      </c>
      <c r="I195" s="51" t="s">
        <v>74</v>
      </c>
    </row>
    <row r="196" spans="1:10" ht="18.75" customHeight="1">
      <c r="A196" s="169" t="str">
        <f>ПТО!F14</f>
        <v xml:space="preserve">  - установка системы видеонаблюдения</v>
      </c>
      <c r="B196" s="169"/>
      <c r="C196" s="169"/>
      <c r="D196" s="169"/>
      <c r="E196" s="169"/>
      <c r="F196" s="169"/>
      <c r="G196" s="169"/>
      <c r="H196" s="50">
        <f>ПТО!G14</f>
        <v>40000</v>
      </c>
      <c r="I196" s="51" t="s">
        <v>74</v>
      </c>
    </row>
    <row r="197" spans="1:10" ht="18.75" customHeight="1">
      <c r="A197" s="169" t="str">
        <f>ПТО!F15</f>
        <v xml:space="preserve">  -  работы по выбору (решению) общего собрания или совета дома</v>
      </c>
      <c r="B197" s="169"/>
      <c r="C197" s="169"/>
      <c r="D197" s="169"/>
      <c r="E197" s="169"/>
      <c r="F197" s="169"/>
      <c r="G197" s="169"/>
      <c r="H197" s="50">
        <f>ПТО!G15</f>
        <v>129500</v>
      </c>
      <c r="I197" s="51" t="s">
        <v>74</v>
      </c>
    </row>
    <row r="198" spans="1:10" ht="18.75" hidden="1" customHeight="1">
      <c r="A198" s="169">
        <f>ПТО!F16</f>
        <v>0</v>
      </c>
      <c r="B198" s="169"/>
      <c r="C198" s="169"/>
      <c r="D198" s="169"/>
      <c r="E198" s="169"/>
      <c r="F198" s="169"/>
      <c r="G198" s="169"/>
      <c r="H198" s="50">
        <f>ПТО!G16</f>
        <v>0</v>
      </c>
      <c r="I198" s="53" t="s">
        <v>74</v>
      </c>
    </row>
    <row r="199" spans="1:10" ht="18.75" hidden="1" customHeight="1">
      <c r="A199" s="169">
        <f>ПТО!F17</f>
        <v>0</v>
      </c>
      <c r="B199" s="169"/>
      <c r="C199" s="169"/>
      <c r="D199" s="169"/>
      <c r="E199" s="169"/>
      <c r="F199" s="169"/>
      <c r="G199" s="169"/>
      <c r="H199" s="50">
        <f>ПТО!G17</f>
        <v>0</v>
      </c>
      <c r="I199" s="51" t="s">
        <v>74</v>
      </c>
    </row>
    <row r="200" spans="1:10" hidden="1">
      <c r="A200" s="169">
        <f>ПТО!F18</f>
        <v>0</v>
      </c>
      <c r="B200" s="169"/>
      <c r="C200" s="169"/>
      <c r="D200" s="169"/>
      <c r="E200" s="169"/>
      <c r="F200" s="169"/>
      <c r="G200" s="169"/>
      <c r="H200" s="50">
        <f>ПТО!G18</f>
        <v>0</v>
      </c>
      <c r="I200" s="51" t="s">
        <v>74</v>
      </c>
    </row>
    <row r="201" spans="1:10" hidden="1">
      <c r="A201" s="169">
        <f>ПТО!F19</f>
        <v>0</v>
      </c>
      <c r="B201" s="169"/>
      <c r="C201" s="169"/>
      <c r="D201" s="169"/>
      <c r="E201" s="169"/>
      <c r="F201" s="169"/>
      <c r="G201" s="169"/>
      <c r="H201" s="50">
        <f>ПТО!G19</f>
        <v>0</v>
      </c>
      <c r="I201" s="51" t="s">
        <v>74</v>
      </c>
    </row>
    <row r="202" spans="1:10" hidden="1">
      <c r="A202" s="169">
        <f>ПТО!F20</f>
        <v>0</v>
      </c>
      <c r="B202" s="169"/>
      <c r="C202" s="169"/>
      <c r="D202" s="169"/>
      <c r="E202" s="169"/>
      <c r="F202" s="169"/>
      <c r="G202" s="169"/>
      <c r="H202" s="50">
        <f>ПТО!G20</f>
        <v>0</v>
      </c>
      <c r="I202" s="51" t="s">
        <v>74</v>
      </c>
    </row>
    <row r="203" spans="1:10" hidden="1">
      <c r="A203" s="169">
        <f>ПТО!F21</f>
        <v>0</v>
      </c>
      <c r="B203" s="169"/>
      <c r="C203" s="169"/>
      <c r="D203" s="169"/>
      <c r="E203" s="169"/>
      <c r="F203" s="169"/>
      <c r="G203" s="169"/>
      <c r="H203" s="50">
        <f>ПТО!G21</f>
        <v>0</v>
      </c>
      <c r="I203" s="51" t="s">
        <v>74</v>
      </c>
    </row>
    <row r="204" spans="1:10" hidden="1">
      <c r="A204" s="169">
        <f>ПТО!F22</f>
        <v>0</v>
      </c>
      <c r="B204" s="169"/>
      <c r="C204" s="169"/>
      <c r="D204" s="169"/>
      <c r="E204" s="169"/>
      <c r="F204" s="169"/>
      <c r="G204" s="169"/>
      <c r="H204" s="50">
        <f>ПТО!G22</f>
        <v>0</v>
      </c>
      <c r="I204" s="51" t="s">
        <v>74</v>
      </c>
    </row>
    <row r="205" spans="1:10" hidden="1">
      <c r="A205" s="169">
        <f>ПТО!F23</f>
        <v>0</v>
      </c>
      <c r="B205" s="169"/>
      <c r="C205" s="169"/>
      <c r="D205" s="169"/>
      <c r="E205" s="169"/>
      <c r="F205" s="169"/>
      <c r="G205" s="169"/>
      <c r="H205" s="50">
        <f>ПТО!G23</f>
        <v>0</v>
      </c>
      <c r="I205" s="51" t="s">
        <v>74</v>
      </c>
    </row>
    <row r="206" spans="1:10" hidden="1">
      <c r="A206" s="169">
        <f>ПТО!F24</f>
        <v>0</v>
      </c>
      <c r="B206" s="169"/>
      <c r="C206" s="169"/>
      <c r="D206" s="169"/>
      <c r="E206" s="169"/>
      <c r="F206" s="169"/>
      <c r="G206" s="169"/>
      <c r="H206" s="50">
        <f>ПТО!G24</f>
        <v>0</v>
      </c>
      <c r="I206" s="51" t="s">
        <v>74</v>
      </c>
    </row>
    <row r="207" spans="1:10" hidden="1">
      <c r="A207" s="169">
        <f>ПТО!F25</f>
        <v>0</v>
      </c>
      <c r="B207" s="169"/>
      <c r="C207" s="169"/>
      <c r="D207" s="169"/>
      <c r="E207" s="169"/>
      <c r="F207" s="169"/>
      <c r="G207" s="169"/>
      <c r="H207" s="50">
        <f>ПТО!G25</f>
        <v>0</v>
      </c>
      <c r="I207" s="51" t="s">
        <v>74</v>
      </c>
    </row>
    <row r="208" spans="1:10" hidden="1">
      <c r="A208" s="169">
        <f>ПТО!F26</f>
        <v>0</v>
      </c>
      <c r="B208" s="169"/>
      <c r="C208" s="169"/>
      <c r="D208" s="169"/>
      <c r="E208" s="169"/>
      <c r="F208" s="169"/>
      <c r="G208" s="169"/>
      <c r="H208" s="50">
        <f>ПТО!G26</f>
        <v>0</v>
      </c>
      <c r="I208" s="51" t="s">
        <v>74</v>
      </c>
    </row>
    <row r="209" spans="1:9" hidden="1">
      <c r="A209" s="169">
        <f>ПТО!F27</f>
        <v>0</v>
      </c>
      <c r="B209" s="169"/>
      <c r="C209" s="169"/>
      <c r="D209" s="169"/>
      <c r="E209" s="169"/>
      <c r="F209" s="169"/>
      <c r="G209" s="169"/>
      <c r="H209" s="50">
        <f>ПТО!G27</f>
        <v>0</v>
      </c>
      <c r="I209" s="51" t="s">
        <v>74</v>
      </c>
    </row>
    <row r="210" spans="1:9" hidden="1">
      <c r="A210" s="169">
        <f>ПТО!F28</f>
        <v>0</v>
      </c>
      <c r="B210" s="169"/>
      <c r="C210" s="169"/>
      <c r="D210" s="169"/>
      <c r="E210" s="169"/>
      <c r="F210" s="169"/>
      <c r="G210" s="169"/>
      <c r="H210" s="50">
        <f>ПТО!G28</f>
        <v>0</v>
      </c>
      <c r="I210" s="51" t="s">
        <v>74</v>
      </c>
    </row>
    <row r="211" spans="1:9" hidden="1">
      <c r="A211" s="169">
        <f>ПТО!F29</f>
        <v>0</v>
      </c>
      <c r="B211" s="169"/>
      <c r="C211" s="169"/>
      <c r="D211" s="169"/>
      <c r="E211" s="169"/>
      <c r="F211" s="169"/>
      <c r="G211" s="169"/>
      <c r="H211" s="50">
        <f>ПТО!G29</f>
        <v>0</v>
      </c>
      <c r="I211" s="51" t="s">
        <v>74</v>
      </c>
    </row>
    <row r="212" spans="1:9" hidden="1">
      <c r="A212" s="169">
        <f>ПТО!F30</f>
        <v>0</v>
      </c>
      <c r="B212" s="169"/>
      <c r="C212" s="169"/>
      <c r="D212" s="169"/>
      <c r="E212" s="169"/>
      <c r="F212" s="169"/>
      <c r="G212" s="169"/>
      <c r="H212" s="50">
        <f>ПТО!G30</f>
        <v>0</v>
      </c>
      <c r="I212" s="51" t="s">
        <v>74</v>
      </c>
    </row>
    <row r="213" spans="1:9" hidden="1">
      <c r="A213" s="169">
        <f>ПТО!F31</f>
        <v>0</v>
      </c>
      <c r="B213" s="169"/>
      <c r="C213" s="169"/>
      <c r="D213" s="169"/>
      <c r="E213" s="169"/>
      <c r="F213" s="169"/>
      <c r="G213" s="169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176600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4" sqref="A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182</v>
      </c>
      <c r="G1" s="103">
        <f>-52507.94</f>
        <v>-52507.94</v>
      </c>
    </row>
    <row r="2" spans="1:12" ht="18.75" customHeight="1">
      <c r="A2" s="123" t="s">
        <v>179</v>
      </c>
      <c r="B2" s="121" t="s">
        <v>176</v>
      </c>
      <c r="C2" s="120">
        <v>12</v>
      </c>
      <c r="D2" s="122">
        <v>5873.0399999999991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187</v>
      </c>
      <c r="B3" s="125" t="s">
        <v>188</v>
      </c>
      <c r="C3" s="126">
        <v>1</v>
      </c>
      <c r="D3" s="127">
        <v>250</v>
      </c>
      <c r="E3" s="128" t="s">
        <v>189</v>
      </c>
      <c r="F3" s="30"/>
      <c r="G3" s="30"/>
      <c r="L3" s="33" t="str">
        <f t="shared" si="0"/>
        <v>ТР</v>
      </c>
    </row>
    <row r="4" spans="1:12" ht="18.75" customHeight="1">
      <c r="A4" s="45" t="s">
        <v>191</v>
      </c>
      <c r="B4" s="129" t="s">
        <v>188</v>
      </c>
      <c r="C4" s="43">
        <v>1</v>
      </c>
      <c r="D4" s="47">
        <v>4650</v>
      </c>
      <c r="E4" s="45" t="s">
        <v>192</v>
      </c>
      <c r="F4" s="30"/>
      <c r="G4" s="30"/>
      <c r="L4" s="33" t="str">
        <f t="shared" si="0"/>
        <v>ТР</v>
      </c>
    </row>
    <row r="5" spans="1:12" ht="18.75" customHeight="1">
      <c r="A5" s="45" t="s">
        <v>190</v>
      </c>
      <c r="B5" s="130" t="s">
        <v>188</v>
      </c>
      <c r="C5" s="43">
        <v>1</v>
      </c>
      <c r="D5" s="47">
        <v>2195</v>
      </c>
      <c r="E5" s="45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31" t="s">
        <v>194</v>
      </c>
      <c r="B6" s="132" t="s">
        <v>188</v>
      </c>
      <c r="C6" s="133">
        <v>1</v>
      </c>
      <c r="D6" s="134">
        <v>7209</v>
      </c>
      <c r="E6" s="135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36" t="s">
        <v>196</v>
      </c>
      <c r="B7" s="137" t="s">
        <v>188</v>
      </c>
      <c r="C7" s="138">
        <v>1</v>
      </c>
      <c r="D7" s="47">
        <v>2874</v>
      </c>
      <c r="E7" s="139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178</v>
      </c>
      <c r="G13" s="115">
        <v>5900</v>
      </c>
      <c r="L13" s="33">
        <f t="shared" si="0"/>
        <v>0</v>
      </c>
    </row>
    <row r="14" spans="1:12" ht="15.75">
      <c r="A14" s="30"/>
      <c r="F14" s="140" t="s">
        <v>198</v>
      </c>
      <c r="G14" s="141">
        <v>40000</v>
      </c>
      <c r="L14" s="33">
        <f t="shared" si="0"/>
        <v>0</v>
      </c>
    </row>
    <row r="15" spans="1:12" ht="31.5">
      <c r="A15" s="30"/>
      <c r="F15" s="114" t="s">
        <v>180</v>
      </c>
      <c r="G15" s="115">
        <v>129500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16862.04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16862.04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54257.64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54257.64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29100.6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29100.6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16318.08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16318.08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6799.2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6799.2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28692.6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28692.6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5h2pelnCf88SMhjsz3UkLBFyfUJccn34O7b6PifGmnDQiPKMlHYueMmCdzHA/DlHLnf5aUQ1oJCR+/OwAz7YSw==" saltValue="oDWuiWNI99+5IwkG4wb/v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9" zoomScale="85" zoomScaleNormal="85" workbookViewId="0">
      <selection activeCell="C77" sqref="C7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1133.2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74377.389999999985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229177.41999999998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155066.13999999998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74111.28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227632.2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227632.2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227632.2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75922.609999999928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3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3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3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3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2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2"/>
      <c r="N26" s="64"/>
    </row>
    <row r="27" spans="1:15" ht="18.75" customHeight="1">
      <c r="A27" s="71" t="s">
        <v>104</v>
      </c>
      <c r="B27" s="76" t="s">
        <v>4</v>
      </c>
      <c r="C27" s="87">
        <v>64780.25</v>
      </c>
      <c r="D27" s="82" t="s">
        <v>60</v>
      </c>
      <c r="E27" s="65"/>
      <c r="F27" s="65"/>
      <c r="G27" s="65"/>
      <c r="H27" s="65"/>
      <c r="I27" s="65"/>
      <c r="J27" s="65"/>
      <c r="M27" s="172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2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2"/>
      <c r="N29" s="64"/>
    </row>
    <row r="30" spans="1:15" ht="18.75" customHeight="1">
      <c r="A30" s="71" t="s">
        <v>107</v>
      </c>
      <c r="B30" s="76" t="s">
        <v>18</v>
      </c>
      <c r="C30" s="87">
        <v>59692.74</v>
      </c>
      <c r="D30" s="82" t="s">
        <v>66</v>
      </c>
      <c r="E30" s="65"/>
      <c r="F30" s="65"/>
      <c r="G30" s="65"/>
      <c r="H30" s="65"/>
      <c r="I30" s="65"/>
      <c r="J30" s="65"/>
      <c r="M30" s="172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2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2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2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2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88026.079999999987</v>
      </c>
      <c r="F37" s="95" t="s">
        <v>166</v>
      </c>
      <c r="G37" s="67"/>
      <c r="H37" s="67"/>
      <c r="I37" s="67"/>
      <c r="L37" s="64"/>
      <c r="M37" s="171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77215.859649122809</v>
      </c>
      <c r="D38" s="95" t="s">
        <v>164</v>
      </c>
      <c r="E38" s="69"/>
      <c r="G38" s="68"/>
      <c r="H38" s="68"/>
      <c r="L38" s="64"/>
      <c r="M38" s="171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85272.54</v>
      </c>
      <c r="D39" s="95" t="s">
        <v>165</v>
      </c>
      <c r="E39" s="69"/>
      <c r="G39" s="68"/>
      <c r="H39" s="68"/>
      <c r="L39" s="64"/>
      <c r="M39" s="171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2753.5399999999936</v>
      </c>
      <c r="D40" s="81" t="s">
        <v>59</v>
      </c>
      <c r="E40" s="69"/>
      <c r="G40" s="68"/>
      <c r="H40" s="68"/>
      <c r="L40" s="64"/>
      <c r="M40" s="171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88026.079999999987</v>
      </c>
      <c r="D41" s="81" t="s">
        <v>59</v>
      </c>
      <c r="E41" s="69"/>
      <c r="G41" s="68"/>
      <c r="H41" s="68"/>
      <c r="L41" s="64"/>
      <c r="M41" s="171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88026.079999999987</v>
      </c>
      <c r="D42" s="81" t="s">
        <v>59</v>
      </c>
      <c r="E42" s="69"/>
      <c r="G42" s="68"/>
      <c r="H42" s="68"/>
      <c r="L42" s="64"/>
      <c r="M42" s="171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1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1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41347.53</v>
      </c>
      <c r="F45" s="95" t="s">
        <v>166</v>
      </c>
      <c r="G45" s="67"/>
      <c r="H45" s="67"/>
      <c r="L45" s="64"/>
      <c r="M45" s="171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3055.9889135254989</v>
      </c>
      <c r="D46" s="95" t="s">
        <v>167</v>
      </c>
      <c r="E46" s="69"/>
      <c r="G46" s="68"/>
      <c r="H46" s="68"/>
      <c r="L46" s="64"/>
      <c r="M46" s="171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43920.56</v>
      </c>
      <c r="D47" s="95" t="s">
        <v>165</v>
      </c>
      <c r="E47" s="69"/>
      <c r="G47" s="68"/>
      <c r="H47" s="68"/>
      <c r="L47" s="64"/>
      <c r="M47" s="171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1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41347.53</v>
      </c>
      <c r="D49" s="81" t="s">
        <v>59</v>
      </c>
      <c r="E49" s="69"/>
      <c r="G49" s="68"/>
      <c r="H49" s="68"/>
      <c r="L49" s="64"/>
      <c r="M49" s="171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41347.53</v>
      </c>
      <c r="D50" s="81" t="s">
        <v>59</v>
      </c>
      <c r="E50" s="69"/>
      <c r="G50" s="68"/>
      <c r="H50" s="68"/>
      <c r="L50" s="64"/>
      <c r="M50" s="171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1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1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47916.98</v>
      </c>
      <c r="F53" s="95" t="s">
        <v>166</v>
      </c>
      <c r="G53" s="67"/>
      <c r="H53" s="67"/>
      <c r="L53" s="64"/>
      <c r="M53" s="171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3105.4426441996115</v>
      </c>
      <c r="D54" s="95" t="s">
        <v>167</v>
      </c>
      <c r="E54" s="70"/>
      <c r="F54" s="90"/>
      <c r="G54" s="65"/>
      <c r="H54" s="65"/>
      <c r="L54" s="64"/>
      <c r="M54" s="171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49160.969999999994</v>
      </c>
      <c r="D55" s="95" t="s">
        <v>165</v>
      </c>
      <c r="E55" s="70"/>
      <c r="G55" s="65"/>
      <c r="H55" s="65"/>
      <c r="L55" s="64"/>
      <c r="M55" s="171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1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47916.98</v>
      </c>
      <c r="D57" s="81" t="s">
        <v>59</v>
      </c>
      <c r="E57" s="70"/>
      <c r="G57" s="65"/>
      <c r="H57" s="65"/>
      <c r="L57" s="64"/>
      <c r="M57" s="171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47916.98</v>
      </c>
      <c r="D58" s="81" t="s">
        <v>59</v>
      </c>
      <c r="E58" s="70"/>
      <c r="G58" s="65"/>
      <c r="H58" s="65"/>
      <c r="L58" s="64"/>
      <c r="M58" s="171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1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1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2021-03-26T07:50:13Z</dcterms:modified>
</cp:coreProperties>
</file>