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7" i="1"/>
  <c r="A96" i="1"/>
  <c r="G94" i="1"/>
  <c r="F94" i="1"/>
  <c r="D94" i="1"/>
  <c r="K94" i="1"/>
  <c r="F102" i="1" l="1"/>
  <c r="A113" i="1"/>
  <c r="A114" i="1"/>
  <c r="A110" i="1"/>
  <c r="A111" i="1"/>
  <c r="A115" i="1"/>
  <c r="A123" i="1"/>
  <c r="F110" i="1"/>
  <c r="A119" i="1"/>
  <c r="D110" i="1"/>
  <c r="A112" i="1"/>
  <c r="A117" i="1"/>
  <c r="A118" i="1"/>
  <c r="D118" i="1"/>
  <c r="A120" i="1"/>
  <c r="A124" i="1"/>
  <c r="F118" i="1"/>
  <c r="A121" i="1"/>
  <c r="A125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<sst xmlns="http://schemas.openxmlformats.org/spreadsheetml/2006/main" count="542" uniqueCount="194">
  <si>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</si>
  <si>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</si>
  <si>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</si>
  <si>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</si>
  <si>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</si>
  <si>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</si>
  <si>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</si>
  <si>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</si>
  <si>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</si>
  <si>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</si>
  <si>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</si>
  <si>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</si>
  <si>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</si>
  <si>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</si>
  <si>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</si>
  <si>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</si>
  <si>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</si>
  <si>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</si>
  <si>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</si>
  <si>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</si>
  <si>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</si>
  <si>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</si>
  <si>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</si>
  <si>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</si>
  <si>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</si>
  <si>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</si>
  <si>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</si>
  <si>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</si>
  <si>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</si>
  <si>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</si>
  <si>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</si>
  <si>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</si>
  <si>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</si>
  <si>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</si>
  <si>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</si>
  <si>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</si>
  <si>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</si>
  <si>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</si>
  <si>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</si>
  <si>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</si>
  <si>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</si>
  <si>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</si>
  <si>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</si>
  <si>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</si>
  <si>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</si>
  <si>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</si>
  <si>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</si>
  <si>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</si>
  <si>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</si>
  <si>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</si>
  <si>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</si>
  <si>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</si>
  <si>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</si>
  <si>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</si>
  <si>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</si>
  <si>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</si>
  <si>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</si>
  <si>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</si>
  <si>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</si>
  <si>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</si>
  <si>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</si>
  <si>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</si>
  <si>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</si>
  <si>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</si>
  <si>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</si>
  <si>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</si>
  <si>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</si>
  <si>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</si>
  <si>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</si>
  <si>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</si>
  <si>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</si>
  <si>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</si>
  <si>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</si>
  <si>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</si>
  <si>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</si>
  <si>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</si>
  <si>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</si>
  <si>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</si>
  <si>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</si>
  <si>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</si>
  <si>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</si>
  <si>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</si>
  <si>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</si>
  <si>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</si>
  <si>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</si>
  <si>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</si>
  <si>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</si>
  <si>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</si>
  <si>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</si>
  <si>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</si>
  <si>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</si>
  <si>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</si>
  <si>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</si>
  <si>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</si>
  <si>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</si>
  <si>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</si>
  <si>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</si>
  <si>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</si>
  <si>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</si>
  <si>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</si>
  <si>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</si>
  <si>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</si>
  <si>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</si>
  <si>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</si>
  <si>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</si>
  <si>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</si>
  <si>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</si>
  <si>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</si>
  <si>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</si>
  <si>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</si>
  <si>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</si>
  <si>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</si>
  <si>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</si>
  <si>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</si>
  <si>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</si>
  <si>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</si>
  <si>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</si>
  <si>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</si>
  <si>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</si>
  <si>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</si>
  <si>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</si>
  <si>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</si>
  <si>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</si>
  <si>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</si>
  <si>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</si>
  <si>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</si>
  <si>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</si>
  <si>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</si>
  <si>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</si>
  <si>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</si>
  <si>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</si>
  <si>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</si>
  <si>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</si>
  <si>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</si>
  <si>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</si>
  <si>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</si>
  <si>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</si>
  <si>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</si>
  <si>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</si>
  <si>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</si>
  <si>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</si>
  <si>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</si>
  <si>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</si>
  <si>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</si>
  <si>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</si>
  <si>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</si>
  <si>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</si>
  <si>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</si>
  <si>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</si>
  <si>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</si>
  <si>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</si>
  <si>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</si>
  <si>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</si>
  <si>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</si>
  <si>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</si>
  <si>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</si>
  <si>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</si>
  <si>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</si>
  <si>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</si>
  <si>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</si>
  <si>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</si>
  <si>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</si>
  <si>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</si>
  <si>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</si>
  <si>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</si>
  <si>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</si>
  <si>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</si>
  <si>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</si>
  <si>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</si>
  <si>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</si>
  <si>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</si>
  <si>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</si>
  <si>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</si>
  <si>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</si>
  <si>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</si>
  <si>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115</t>
  </si>
  <si>
    <t>площадь дома</t>
  </si>
  <si>
    <t>с 01.09.2019 приказ №75 от 17.09.2019, протокол №1-2 от 17.08.2019</t>
  </si>
  <si>
    <t>Отчет об исполнении договора управления многоквартирного дома 
Березовый, 115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</si>
  <si>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</si>
  <si>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</si>
  <si>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</si>
  <si>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</si>
  <si>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</si>
  <si>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</si>
  <si>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</si>
  <si>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</si>
  <si>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электрической энергии.</t>
  </si>
  <si>
    <t>Ремонт подъезда (со 2 по 4-й этажи).</t>
  </si>
  <si>
    <t>Замена прибора учета ХВС.</t>
  </si>
  <si>
    <t>АВР 3/20 от 04.08.2020, счет №161 от 21.07.2020</t>
  </si>
  <si>
    <t>АВР 2/20 от 15.06.2020</t>
  </si>
  <si>
    <t>АВР 4/20 от 07.08.2020, Решение, счет от 03.07.2020</t>
  </si>
  <si>
    <t xml:space="preserve">  -  установка газонного ограждения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</si>
</sst>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0" fontId="21" fillId="0" borderId="0"/>
    <xf numFmtId="0" fontId="21" fillId="0" borderId="0"/>
    <xf numFmtId="0" fontId="30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>
      <alignment horizontal="center"/>
    </xf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5" fillId="0" borderId="0" xfId="5" applyNumberFormat="1" applyFill="1" applyBorder="1" applyAlignment="1"/>
    <xf numFmtId="0" fontId="5" fillId="0" borderId="0" xfId="5" applyFill="1" applyBorder="1" applyAlignment="1">
      <alignment horizontal="center" vertical="center"/>
    </xf>
    <xf numFmtId="0" fontId="0" fillId="0" borderId="0" xfId="0" applyFill="1"/>
    <xf numFmtId="0" fontId="30" fillId="6" borderId="0" xfId="9" applyFill="1" applyProtection="1">
      <protection locked="0"/>
    </xf>
    <xf numFmtId="0" fontId="30" fillId="4" borderId="0" xfId="9" applyFill="1" applyProtection="1">
      <protection locked="0"/>
    </xf>
    <xf numFmtId="0" fontId="13" fillId="0" borderId="0" xfId="0" applyFont="1" applyBorder="1" applyAlignment="1"/>
    <xf numFmtId="4" fontId="13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2" fillId="0" borderId="0" xfId="5" applyFont="1" applyFill="1" applyBorder="1"/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1" fillId="0" borderId="0" xfId="5" applyFont="1" applyFill="1" applyBorder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Обычный 6" xfId="9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92" sqref="G1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8" t="s">
        <v>175</v>
      </c>
      <c r="B2" s="158"/>
      <c r="C2" s="158"/>
      <c r="D2" s="158"/>
      <c r="E2" s="158"/>
      <c r="F2" s="158"/>
      <c r="G2" s="158"/>
      <c r="H2" s="158"/>
      <c r="I2" s="158"/>
      <c r="J2" s="15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2"/>
      <c r="L8" s="159"/>
      <c r="M8" s="112"/>
      <c r="N8" s="112"/>
      <c r="O8" s="72" t="s">
        <v>81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2"/>
      <c r="L9" s="159"/>
      <c r="M9" s="112"/>
      <c r="N9" s="112"/>
      <c r="O9" s="72" t="s">
        <v>82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29970.81</v>
      </c>
      <c r="K10" s="112"/>
      <c r="L10" s="159"/>
      <c r="M10" s="112"/>
      <c r="N10" s="112"/>
      <c r="O10" s="72" t="s">
        <v>83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213198.92</v>
      </c>
      <c r="K11" s="112"/>
      <c r="L11" s="159"/>
      <c r="M11" s="112"/>
      <c r="N11" s="112"/>
      <c r="O11" s="72" t="s">
        <v>84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94931.050000000017</v>
      </c>
      <c r="K12" s="112"/>
      <c r="L12" s="159"/>
      <c r="M12" s="112"/>
      <c r="N12" s="112"/>
      <c r="O12" s="72" t="s">
        <v>85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61547.94</v>
      </c>
      <c r="K13" s="112"/>
      <c r="L13" s="159"/>
      <c r="M13" s="112"/>
      <c r="N13" s="112"/>
      <c r="O13" s="72" t="s">
        <v>86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56719.93</v>
      </c>
      <c r="K14" s="112"/>
      <c r="L14" s="159"/>
      <c r="M14" s="112"/>
      <c r="N14" s="112"/>
      <c r="O14" s="72" t="s">
        <v>87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214208.53000000003</v>
      </c>
      <c r="K15" s="112"/>
      <c r="L15" s="159"/>
      <c r="M15" s="112"/>
      <c r="N15" s="112"/>
      <c r="O15" s="72" t="s">
        <v>88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214208.53000000003</v>
      </c>
      <c r="K16" s="112"/>
      <c r="L16" s="159"/>
      <c r="M16" s="112"/>
      <c r="N16" s="112"/>
      <c r="O16" s="72" t="s">
        <v>89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2"/>
      <c r="L17" s="159"/>
      <c r="M17" s="112"/>
      <c r="N17" s="112"/>
      <c r="O17" s="72" t="s">
        <v>90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2"/>
      <c r="L18" s="159"/>
      <c r="M18" s="112"/>
      <c r="N18" s="112"/>
      <c r="O18" s="72" t="s">
        <v>91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2"/>
      <c r="L19" s="159"/>
      <c r="M19" s="112"/>
      <c r="N19" s="112"/>
      <c r="O19" s="72" t="s">
        <v>92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2"/>
      <c r="L20" s="159"/>
      <c r="M20" s="112"/>
      <c r="N20" s="112"/>
      <c r="O20" s="72" t="s">
        <v>93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214208.53000000003</v>
      </c>
      <c r="K21" s="112"/>
      <c r="L21" s="159"/>
      <c r="M21" s="112"/>
      <c r="N21" s="112"/>
      <c r="O21" s="72" t="s">
        <v>94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2"/>
      <c r="L22" s="159"/>
      <c r="M22" s="112"/>
      <c r="N22" s="112"/>
      <c r="O22" s="72" t="s">
        <v>95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2"/>
      <c r="L23" s="159"/>
      <c r="M23" s="112"/>
      <c r="N23" s="112"/>
      <c r="O23" s="72" t="s">
        <v>96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28961.199999999983</v>
      </c>
      <c r="K24" s="112"/>
      <c r="L24" s="159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2"/>
      <c r="L27" s="16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19085.52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2"/>
      <c r="L28" s="16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8">
        <f>VLOOKUP(A29,ПТО!$A$39:$D$53,2,FALSE)</f>
        <v>56466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2"/>
      <c r="L29" s="160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25974.36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2"/>
      <c r="L30" s="16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13551.84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2"/>
      <c r="L31" s="16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2"/>
      <c r="L32" s="160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5646.6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2"/>
      <c r="L33" s="16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28684.68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2"/>
      <c r="L34" s="16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8" t="e">
        <f>VLOOKUP(A35,ПТО!$A$39:$D$53,2,FALSE)</f>
        <v>#N/A</v>
      </c>
      <c r="G35" s="148"/>
      <c r="H35" s="42" t="e">
        <f>VLOOKUP(A35,ПТО!$A$39:$D$53,3,FALSE)</f>
        <v>#N/A</v>
      </c>
      <c r="I35" s="144" t="e">
        <f>VLOOKUP(A35,ПТО!$A$39:$D$53,4,FALSE)</f>
        <v>#N/A</v>
      </c>
      <c r="J35" s="144"/>
      <c r="K35" s="112"/>
      <c r="L35" s="160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2"/>
      <c r="L36" s="160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2"/>
      <c r="L37" s="160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2"/>
      <c r="L38" s="160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2"/>
      <c r="L39" s="160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2"/>
      <c r="L40" s="160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2"/>
      <c r="L41" s="160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2"/>
      <c r="L42" s="160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Приобретение и установка таблички по пожарной безопасности.</v>
      </c>
      <c r="B43" s="143"/>
      <c r="C43" s="143"/>
      <c r="D43" s="143"/>
      <c r="E43" s="143"/>
      <c r="F43" s="148">
        <f>VLOOKUP(A43,ПТО!$A$2:$D$31,4,FALSE)</f>
        <v>250</v>
      </c>
      <c r="G43" s="148"/>
      <c r="H43" s="19" t="str">
        <f>VLOOKUP(A43,ПТО!$A$2:$D$31,2,FALSE)</f>
        <v>разово</v>
      </c>
      <c r="I43" s="144">
        <f>VLOOKUP(A43,ПТО!$A$2:$D$31,3,FALSE)</f>
        <v>1</v>
      </c>
      <c r="J43" s="144"/>
      <c r="K43" s="112"/>
      <c r="L43" s="160"/>
      <c r="M43" s="119"/>
      <c r="N43" s="112"/>
      <c r="O43" s="23" t="str">
        <f t="shared" si="1"/>
        <v>Приобретение и установка таблички по пожарной безопасности.</v>
      </c>
      <c r="R43" s="22" t="s">
        <v>72</v>
      </c>
    </row>
    <row r="44" spans="1:18" ht="51" customHeight="1" outlineLevel="1">
      <c r="A44" s="143" t="str">
        <f>ПТО!A3</f>
        <v>Замена прибора учета электрической энергии.</v>
      </c>
      <c r="B44" s="143"/>
      <c r="C44" s="143"/>
      <c r="D44" s="143"/>
      <c r="E44" s="143"/>
      <c r="F44" s="148">
        <f>VLOOKUP(A44,ПТО!$A$2:$D$31,4,FALSE)</f>
        <v>14418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2"/>
      <c r="L44" s="160"/>
      <c r="M44" s="119"/>
      <c r="N44" s="112"/>
      <c r="O44" s="23" t="str">
        <f t="shared" si="1"/>
        <v>Замена прибора учета электрической энергии.</v>
      </c>
      <c r="R44" s="22" t="s">
        <v>72</v>
      </c>
    </row>
    <row r="45" spans="1:18" ht="51" customHeight="1" outlineLevel="1">
      <c r="A45" s="143" t="str">
        <f>ПТО!A4</f>
        <v>Замена прибора учета ХВС.</v>
      </c>
      <c r="B45" s="143"/>
      <c r="C45" s="143"/>
      <c r="D45" s="143"/>
      <c r="E45" s="143"/>
      <c r="F45" s="148">
        <f>VLOOKUP(A45,ПТО!$A$2:$D$31,4,FALSE)</f>
        <v>1650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2"/>
      <c r="L45" s="160"/>
      <c r="M45" s="119"/>
      <c r="N45" s="112"/>
      <c r="O45" s="23" t="str">
        <f t="shared" si="1"/>
        <v>Замена прибора учета ХВС.</v>
      </c>
      <c r="R45" s="22" t="s">
        <v>72</v>
      </c>
    </row>
    <row r="46" spans="1:18" ht="51" customHeight="1" outlineLevel="1">
      <c r="A46" s="143" t="str">
        <f>ПТО!A5</f>
        <v>Ремонт подъезда (со 2 по 4-й этажи).</v>
      </c>
      <c r="B46" s="143"/>
      <c r="C46" s="143"/>
      <c r="D46" s="143"/>
      <c r="E46" s="143"/>
      <c r="F46" s="148">
        <f>VLOOKUP(A46,ПТО!$A$2:$D$31,4,FALSE)</f>
        <v>99125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2"/>
      <c r="L46" s="160"/>
      <c r="M46" s="119"/>
      <c r="N46" s="112"/>
      <c r="O46" s="23" t="str">
        <f t="shared" si="1"/>
        <v>Ремонт подъезда (со 2 по 4-й этажи).</v>
      </c>
      <c r="R46" s="22" t="s">
        <v>72</v>
      </c>
    </row>
    <row r="47" spans="1:18" ht="51" hidden="1" customHeight="1" outlineLevel="1">
      <c r="A47" s="143">
        <f>ПТО!A6</f>
        <v>0</v>
      </c>
      <c r="B47" s="143"/>
      <c r="C47" s="143"/>
      <c r="D47" s="143"/>
      <c r="E47" s="143"/>
      <c r="F47" s="148" t="e">
        <f>VLOOKUP(A47,ПТО!$A$2:$D$31,4,FALSE)</f>
        <v>#N/A</v>
      </c>
      <c r="G47" s="148"/>
      <c r="H47" s="25" t="e">
        <f>VLOOKUP(A47,ПТО!$A$2:$D$31,2,FALSE)</f>
        <v>#N/A</v>
      </c>
      <c r="I47" s="144" t="e">
        <f>VLOOKUP(A47,ПТО!$A$2:$D$31,3,FALSE)</f>
        <v>#N/A</v>
      </c>
      <c r="J47" s="144"/>
      <c r="K47" s="112"/>
      <c r="L47" s="160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4" t="e">
        <f>VLOOKUP(A48,ПТО!$A$2:$D$31,3,FALSE)</f>
        <v>#N/A</v>
      </c>
      <c r="J48" s="144"/>
      <c r="K48" s="112"/>
      <c r="L48" s="160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2"/>
      <c r="L49" s="160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2"/>
      <c r="L50" s="160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2"/>
      <c r="L51" s="160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2"/>
      <c r="L52" s="160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2"/>
      <c r="L53" s="160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2"/>
      <c r="L54" s="160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2"/>
      <c r="L55" s="160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2"/>
      <c r="L56" s="160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2"/>
      <c r="L57" s="160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2"/>
      <c r="L58" s="160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2"/>
      <c r="L59" s="160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2"/>
      <c r="L60" s="160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2"/>
      <c r="L61" s="160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2"/>
      <c r="L62" s="160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2"/>
      <c r="L63" s="160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2"/>
      <c r="L64" s="160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2"/>
      <c r="L65" s="160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2"/>
      <c r="L66" s="160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2"/>
      <c r="L67" s="160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2"/>
      <c r="L68" s="160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2"/>
      <c r="L69" s="160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2"/>
      <c r="L70" s="160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9"/>
      <c r="L71" s="160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2"/>
      <c r="L72" s="160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2"/>
      <c r="L75" s="163"/>
      <c r="M75" s="112"/>
      <c r="N75" s="112"/>
      <c r="O75" s="72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2"/>
      <c r="L76" s="163"/>
      <c r="M76" s="112"/>
      <c r="N76" s="112"/>
      <c r="O76" s="72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2"/>
      <c r="L77" s="163"/>
      <c r="M77" s="112"/>
      <c r="N77" s="112"/>
      <c r="O77" s="72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9">
        <f>VLOOKUP(O78,АО,3,FALSE)</f>
        <v>0</v>
      </c>
      <c r="K78" s="112"/>
      <c r="L78" s="163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9">
        <f t="shared" ref="J81:J90" si="2">VLOOKUP(O81,АО,3,FALSE)</f>
        <v>0</v>
      </c>
      <c r="K81" s="112"/>
      <c r="L81" s="149"/>
      <c r="M81" s="112"/>
      <c r="N81" s="112"/>
      <c r="O81" s="72" t="s">
        <v>102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9">
        <f t="shared" si="2"/>
        <v>0</v>
      </c>
      <c r="K82" s="112"/>
      <c r="L82" s="149"/>
      <c r="M82" s="112"/>
      <c r="N82" s="112"/>
      <c r="O82" s="72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25032.34</v>
      </c>
      <c r="K83" s="112"/>
      <c r="L83" s="149"/>
      <c r="M83" s="112"/>
      <c r="N83" s="112"/>
      <c r="O83" s="72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49"/>
      <c r="M84" s="112"/>
      <c r="N84" s="112"/>
      <c r="O84" s="72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49"/>
      <c r="M85" s="112"/>
      <c r="N85" s="112"/>
      <c r="O85" s="72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12504.16</v>
      </c>
      <c r="K86" s="112"/>
      <c r="L86" s="149"/>
      <c r="M86" s="112"/>
      <c r="N86" s="112"/>
      <c r="O86" s="72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49"/>
      <c r="M87" s="112"/>
      <c r="N87" s="112"/>
      <c r="O87" s="72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49"/>
      <c r="M88" s="112"/>
      <c r="N88" s="112"/>
      <c r="O88" s="72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49"/>
      <c r="M89" s="112"/>
      <c r="N89" s="112"/>
      <c r="O89" s="72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49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15049.200000000003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13201.05263157895</v>
      </c>
      <c r="L95" s="150"/>
      <c r="O95" s="1" t="s">
        <v>112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14633.430000000004</v>
      </c>
      <c r="L96" s="150"/>
      <c r="O96" s="1" t="s">
        <v>113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415.76999999999862</v>
      </c>
      <c r="L97" s="150"/>
      <c r="O97" s="1" t="s">
        <v>114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15049.200000000003</v>
      </c>
      <c r="L98" s="150"/>
      <c r="O98" s="1" t="s">
        <v>115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15049.200000000003</v>
      </c>
      <c r="L99" s="150"/>
      <c r="O99" s="1" t="s">
        <v>116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117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118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2350.39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173.71692535107169</v>
      </c>
      <c r="L103" s="150"/>
      <c r="O103" s="1" t="s">
        <v>121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8163.7900000000009</v>
      </c>
      <c r="L104" s="150"/>
      <c r="O104" s="1" t="s">
        <v>122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123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2350.39</v>
      </c>
      <c r="L106" s="150"/>
      <c r="O106" s="1" t="s">
        <v>124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2350.39</v>
      </c>
      <c r="L107" s="150"/>
      <c r="O107" s="1" t="s">
        <v>125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126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127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2611.92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169.2754374594945</v>
      </c>
      <c r="L111" s="150"/>
      <c r="O111" s="1" t="s">
        <v>129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8845.8900000000012</v>
      </c>
      <c r="L112" s="150"/>
      <c r="O112" s="1" t="s">
        <v>130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131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2611.92</v>
      </c>
      <c r="L114" s="150"/>
      <c r="O114" s="1" t="s">
        <v>132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2611.92</v>
      </c>
      <c r="L115" s="150"/>
      <c r="O115" s="1" t="s">
        <v>133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134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135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9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45">
        <f>IF(VLOOKUP("гвс",АО,3,FALSE)&gt;0,"Горячее водоснабжение",0)</f>
        <v>0</v>
      </c>
      <c r="B126" s="145"/>
      <c r="C126" s="145"/>
      <c r="D126" s="146">
        <f>IF(VLOOKUP("гвс",АО,3,FALSE)&gt;0,VLOOKUP("гвс",АО,3,FALSE),0)</f>
        <v>0</v>
      </c>
      <c r="E126" s="146"/>
      <c r="F126" s="13">
        <f>IF(VLOOKUP("гвс",АО,3,FALSE)&gt;0,VLOOKUP("гвс",АО,4,FALSE),0)</f>
        <v>0</v>
      </c>
      <c r="G126" s="147">
        <f>VLOOKUP("гвс",АО,5,FALSE)</f>
        <v>0</v>
      </c>
      <c r="H126" s="146"/>
      <c r="I126" s="146"/>
      <c r="J126" s="146"/>
      <c r="L126" s="49"/>
    </row>
    <row r="127" spans="1:15" ht="32.25" hidden="1" customHeight="1" outlineLevel="2">
      <c r="A127" s="141">
        <f t="shared" ref="A127:A133" si="10">IF(VLOOKUP("гвс",АО,3,FALSE)&gt;0,VLOOKUP(O127,АО,2,FALSE),0)</f>
        <v>0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1">
        <f t="shared" si="10"/>
        <v>0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1">
        <f t="shared" si="10"/>
        <v>0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1">
        <f t="shared" si="10"/>
        <v>0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1">
        <f t="shared" si="10"/>
        <v>0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1">
        <f t="shared" si="10"/>
        <v>0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1">
        <f t="shared" si="10"/>
        <v>0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0</v>
      </c>
      <c r="O144" t="s">
        <v>169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1" t="s">
        <v>172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40358.29</v>
      </c>
      <c r="O146" t="s">
        <v>171</v>
      </c>
    </row>
    <row r="149" spans="1:15" ht="52.5" customHeight="1">
      <c r="A149" s="166" t="s">
        <v>178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8" t="s">
        <v>179</v>
      </c>
      <c r="B154" s="168"/>
      <c r="C154" s="168"/>
      <c r="D154" s="168"/>
      <c r="E154" s="27">
        <f>ПТО!G1</f>
        <v>-32827.17</v>
      </c>
    </row>
    <row r="155" spans="1:15" ht="34.5" customHeight="1">
      <c r="A155" s="167" t="s">
        <v>181</v>
      </c>
      <c r="B155" s="167"/>
      <c r="C155" s="167"/>
      <c r="D155" s="167"/>
      <c r="E155" s="28">
        <f>J13</f>
        <v>61547.94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Приобретение и установка таблички по пожарной безопасности.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250</v>
      </c>
      <c r="G158" s="148"/>
      <c r="H158" s="24" t="str">
        <f t="shared" ref="H158:H187" si="16">VLOOKUP(A158,$A$28:$J$72,8,FALSE)</f>
        <v>разово</v>
      </c>
      <c r="I158" s="144">
        <f t="shared" ref="I158:I161" si="17">VLOOKUP(A158,$A$28:$J$72,9,FALSE)</f>
        <v>1</v>
      </c>
      <c r="J158" s="144"/>
      <c r="M158" s="22" t="s">
        <v>72</v>
      </c>
      <c r="N158" s="1" t="str">
        <f t="array" ref="N158:N187">INDEX($O$43:$O$72,SMALL(IF($M$158=R43:R72,ROW(O43:O72)-42,""),ROW()-157))</f>
        <v>Приобретение и установка таблички по пожарной безопасности.</v>
      </c>
    </row>
    <row r="159" spans="1:15" ht="28.5" customHeight="1">
      <c r="A159" s="143" t="str">
        <f t="shared" si="14"/>
        <v>Замена прибора учета электрической энергии.</v>
      </c>
      <c r="B159" s="143"/>
      <c r="C159" s="143"/>
      <c r="D159" s="143"/>
      <c r="E159" s="143"/>
      <c r="F159" s="148">
        <f t="shared" si="15"/>
        <v>14418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Замена прибора учета электрической энергии.</v>
      </c>
    </row>
    <row r="160" spans="1:15" ht="28.5" customHeight="1">
      <c r="A160" s="143" t="str">
        <f t="shared" si="14"/>
        <v>Замена прибора учета ХВС.</v>
      </c>
      <c r="B160" s="143"/>
      <c r="C160" s="143"/>
      <c r="D160" s="143"/>
      <c r="E160" s="143"/>
      <c r="F160" s="148">
        <f t="shared" si="15"/>
        <v>1650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Замена прибора учета ХВС.</v>
      </c>
    </row>
    <row r="161" spans="1:14" ht="28.5" customHeight="1">
      <c r="A161" s="143" t="str">
        <f>IF(N161&gt;0,N161,0)</f>
        <v>Ремонт подъезда (со 2 по 4-й этажи).</v>
      </c>
      <c r="B161" s="143"/>
      <c r="C161" s="143"/>
      <c r="D161" s="143"/>
      <c r="E161" s="143"/>
      <c r="F161" s="148">
        <f t="shared" si="15"/>
        <v>99125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Ремонт подъезда (со 2 по 4-й этажи).</v>
      </c>
    </row>
    <row r="162" spans="1:14" ht="28.5" hidden="1" customHeight="1">
      <c r="A162" s="143">
        <f t="shared" si="14"/>
        <v>0</v>
      </c>
      <c r="B162" s="143"/>
      <c r="C162" s="143"/>
      <c r="D162" s="143"/>
      <c r="E162" s="143"/>
      <c r="F162" s="148">
        <f t="shared" si="15"/>
        <v>0</v>
      </c>
      <c r="G162" s="148"/>
      <c r="H162" s="24" t="e">
        <f t="shared" si="16"/>
        <v>#N/A</v>
      </c>
      <c r="I162" s="144" t="e">
        <f>VLOOKUP(A162,$A$28:$J$72,9,FALSE)</f>
        <v>#N/A</v>
      </c>
      <c r="J162" s="144"/>
      <c r="M162" s="22" t="s">
        <v>72</v>
      </c>
      <c r="N162" s="1">
        <v>0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8">
        <f t="shared" si="15"/>
        <v>0</v>
      </c>
      <c r="G163" s="148"/>
      <c r="H163" s="24" t="e">
        <f t="shared" si="16"/>
        <v>#N/A</v>
      </c>
      <c r="I163" s="144" t="e">
        <f>VLOOKUP(A163,$A$28:$J$72,9,FALSE)</f>
        <v>#N/A</v>
      </c>
      <c r="J163" s="144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68" t="s">
        <v>182</v>
      </c>
      <c r="B190" s="168"/>
      <c r="C190" s="168"/>
      <c r="D190" s="168"/>
      <c r="E190" s="27">
        <f>SUM(F158:G187)</f>
        <v>115443</v>
      </c>
    </row>
    <row r="191" spans="1:14" ht="51.75" customHeight="1">
      <c r="A191" s="168" t="s">
        <v>183</v>
      </c>
      <c r="B191" s="168"/>
      <c r="C191" s="168"/>
      <c r="D191" s="168"/>
      <c r="E191" s="27">
        <f>E190+E154-E155</f>
        <v>21067.89</v>
      </c>
    </row>
    <row r="192" spans="1:14">
      <c r="A192" s="107" t="s">
        <v>173</v>
      </c>
    </row>
    <row r="193" spans="1:10" ht="62.25" customHeight="1">
      <c r="A193" s="142" t="s">
        <v>180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51">
        <f>ПТО!G12</f>
        <v>1200</v>
      </c>
      <c r="I194" s="52" t="s">
        <v>74</v>
      </c>
    </row>
    <row r="195" spans="1:10" ht="18.75" customHeight="1">
      <c r="A195" s="140" t="str">
        <f>ПТО!F13</f>
        <v xml:space="preserve">  -  установка газонного ограждения</v>
      </c>
      <c r="B195" s="140"/>
      <c r="C195" s="140"/>
      <c r="D195" s="140"/>
      <c r="E195" s="140"/>
      <c r="F195" s="140"/>
      <c r="G195" s="140"/>
      <c r="H195" s="51">
        <f>ПТО!G13</f>
        <v>40000</v>
      </c>
      <c r="I195" s="52" t="s">
        <v>74</v>
      </c>
    </row>
    <row r="196" spans="1:10" ht="18.75" hidden="1" customHeight="1">
      <c r="A196" s="140">
        <f>ПТО!F14</f>
        <v>0</v>
      </c>
      <c r="B196" s="140"/>
      <c r="C196" s="140"/>
      <c r="D196" s="140"/>
      <c r="E196" s="140"/>
      <c r="F196" s="140"/>
      <c r="G196" s="140"/>
      <c r="H196" s="51">
        <f>ПТО!G14</f>
        <v>0</v>
      </c>
      <c r="I196" s="52" t="s">
        <v>74</v>
      </c>
    </row>
    <row r="197" spans="1:10" ht="18.75" hidden="1" customHeight="1">
      <c r="A197" s="140">
        <f>ПТО!F15</f>
        <v>0</v>
      </c>
      <c r="B197" s="140"/>
      <c r="C197" s="140"/>
      <c r="D197" s="140"/>
      <c r="E197" s="140"/>
      <c r="F197" s="140"/>
      <c r="G197" s="140"/>
      <c r="H197" s="51">
        <f>ПТО!G15</f>
        <v>0</v>
      </c>
      <c r="I197" s="52" t="s">
        <v>74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51">
        <f>ПТО!G16</f>
        <v>0</v>
      </c>
      <c r="I198" s="54" t="s">
        <v>74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1">
        <f>ПТО!G17</f>
        <v>0</v>
      </c>
      <c r="I199" s="52" t="s">
        <v>74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1">
        <f>ПТО!G18</f>
        <v>0</v>
      </c>
      <c r="I200" s="52" t="s">
        <v>74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1">
        <f>ПТО!G19</f>
        <v>0</v>
      </c>
      <c r="I201" s="52" t="s">
        <v>74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1">
        <f>ПТО!G20</f>
        <v>0</v>
      </c>
      <c r="I202" s="52" t="s">
        <v>74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1">
        <f>ПТО!G21</f>
        <v>0</v>
      </c>
      <c r="I203" s="52" t="s">
        <v>74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1">
        <f>ПТО!G22</f>
        <v>0</v>
      </c>
      <c r="I204" s="52" t="s">
        <v>74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1">
        <f>ПТО!G23</f>
        <v>0</v>
      </c>
      <c r="I205" s="52" t="s">
        <v>74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1">
        <f>ПТО!G24</f>
        <v>0</v>
      </c>
      <c r="I206" s="52" t="s">
        <v>74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1">
        <f>ПТО!G25</f>
        <v>0</v>
      </c>
      <c r="I207" s="52" t="s">
        <v>74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1">
        <f>ПТО!G26</f>
        <v>0</v>
      </c>
      <c r="I208" s="52" t="s">
        <v>74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1">
        <f>ПТО!G27</f>
        <v>0</v>
      </c>
      <c r="I209" s="52" t="s">
        <v>74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1">
        <f>ПТО!G28</f>
        <v>0</v>
      </c>
      <c r="I210" s="52" t="s">
        <v>74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1">
        <f>ПТО!G29</f>
        <v>0</v>
      </c>
      <c r="I211" s="52" t="s">
        <v>74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1">
        <f>ПТО!G30</f>
        <v>0</v>
      </c>
      <c r="I212" s="52" t="s">
        <v>74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41200</v>
      </c>
      <c r="I214" s="58" t="s">
        <v>76</v>
      </c>
    </row>
  </sheetData>
  <sheetProtection algorithmName="SHA-512" hashValue="4cfkhm+UMN8WGu8rnfZBXVsq6BSYnHU0Oekw2WcssYHEUWXtvv158OZmJw7fzwJ6q8XDPjmEqsYi3/CYYXCkwQ==" saltValue="hKjL3IHf75pMSbqejPx+X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179</v>
      </c>
      <c r="G1" s="104">
        <f>-32827.17</f>
        <v>-32827.17</v>
      </c>
    </row>
    <row r="2" spans="1:12" ht="18.75" customHeight="1">
      <c r="A2" s="128" t="s">
        <v>184</v>
      </c>
      <c r="B2" s="129" t="s">
        <v>185</v>
      </c>
      <c r="C2" s="130">
        <v>1</v>
      </c>
      <c r="D2" s="131">
        <v>250</v>
      </c>
      <c r="E2" s="123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187</v>
      </c>
      <c r="B3" s="133" t="s">
        <v>185</v>
      </c>
      <c r="C3" s="122">
        <v>1</v>
      </c>
      <c r="D3" s="121">
        <v>14418</v>
      </c>
      <c r="E3" s="135" t="s">
        <v>191</v>
      </c>
      <c r="F3" s="30"/>
      <c r="G3" s="30"/>
      <c r="L3" s="33" t="str">
        <f t="shared" si="0"/>
        <v>ТР</v>
      </c>
    </row>
    <row r="4" spans="1:12" ht="18.75" customHeight="1">
      <c r="A4" s="46" t="s">
        <v>189</v>
      </c>
      <c r="B4" s="134" t="s">
        <v>185</v>
      </c>
      <c r="C4" s="43">
        <v>1</v>
      </c>
      <c r="D4" s="48">
        <v>1650</v>
      </c>
      <c r="E4" s="46" t="s">
        <v>190</v>
      </c>
      <c r="F4" s="30"/>
      <c r="G4" s="30"/>
      <c r="L4" s="33" t="str">
        <f t="shared" si="0"/>
        <v>ТР</v>
      </c>
    </row>
    <row r="5" spans="1:12" ht="18.75" customHeight="1">
      <c r="A5" s="136" t="s">
        <v>188</v>
      </c>
      <c r="B5" s="137" t="s">
        <v>185</v>
      </c>
      <c r="C5" s="137">
        <v>1</v>
      </c>
      <c r="D5" s="138">
        <v>99125</v>
      </c>
      <c r="E5" s="139" t="s">
        <v>192</v>
      </c>
      <c r="F5" s="46"/>
      <c r="G5" s="46"/>
      <c r="K5" s="48"/>
      <c r="L5" s="33" t="str">
        <f t="shared" si="0"/>
        <v>ТР</v>
      </c>
    </row>
    <row r="6" spans="1:12" ht="18.75" customHeight="1">
      <c r="A6" s="47"/>
      <c r="B6" s="43"/>
      <c r="C6" s="45"/>
      <c r="D6" s="48"/>
      <c r="E6" s="47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180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15.75">
      <c r="A13" s="30"/>
      <c r="F13" s="126" t="s">
        <v>193</v>
      </c>
      <c r="G13" s="127">
        <v>40000</v>
      </c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19085.52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19085.52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56466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56466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25974.36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25974.36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13551.84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13551.84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5646.6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5646.6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28684.68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28684.68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1U+Yf4QxAbB8OmHAsn3oknhlJBsv1oxT6d5KM8Yaf13DtE471fIzmdC32oWwlDTc/KWT9LuhC6wK51FAGqEW8A==" saltValue="ew0YnVl1mkeZkALBIQkv5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941.1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124">
        <v>5.45</v>
      </c>
      <c r="F2" s="125" t="s">
        <v>177</v>
      </c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29970.81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213198.92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94931.050000000017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(F1*5.45*12)</f>
        <v>61547.94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56719.93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214208.53000000003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214208.53000000003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214208.53000000003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28961.199999999983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104</v>
      </c>
      <c r="B27" s="77" t="s">
        <v>4</v>
      </c>
      <c r="C27" s="88">
        <v>25032.34</v>
      </c>
      <c r="D27" s="83" t="s">
        <v>60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107</v>
      </c>
      <c r="B30" s="77" t="s">
        <v>18</v>
      </c>
      <c r="C30" s="88">
        <v>12504.16</v>
      </c>
      <c r="D30" s="83" t="s">
        <v>66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15049.200000000003</v>
      </c>
      <c r="F37" s="96" t="s">
        <v>166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13201.05263157895</v>
      </c>
      <c r="D38" s="96" t="s">
        <v>164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14633.430000000004</v>
      </c>
      <c r="D39" s="96" t="s">
        <v>165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415.76999999999862</v>
      </c>
      <c r="D40" s="82" t="s">
        <v>59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15049.200000000003</v>
      </c>
      <c r="D41" s="82" t="s">
        <v>59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15049.200000000003</v>
      </c>
      <c r="D42" s="82" t="s">
        <v>59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2350.39</v>
      </c>
      <c r="F45" s="96" t="s">
        <v>166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173.71692535107169</v>
      </c>
      <c r="D46" s="96" t="s">
        <v>167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8163.7900000000009</v>
      </c>
      <c r="D47" s="96" t="s">
        <v>165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2350.39</v>
      </c>
      <c r="D49" s="82" t="s">
        <v>59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2350.39</v>
      </c>
      <c r="D50" s="82" t="s">
        <v>59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2611.92</v>
      </c>
      <c r="F53" s="96" t="s">
        <v>166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169.2754374594945</v>
      </c>
      <c r="D54" s="96" t="s">
        <v>167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8845.8900000000012</v>
      </c>
      <c r="D55" s="96" t="s">
        <v>165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2611.92</v>
      </c>
      <c r="D57" s="82" t="s">
        <v>59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2611.92</v>
      </c>
      <c r="D58" s="82" t="s">
        <v>59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40358.29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2021-03-26T07:42:14Z</dcterms:modified>
</cp:coreProperties>
</file>