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19" i="1" l="1"/>
  <c r="A123" i="1"/>
  <c r="A118" i="1"/>
  <c r="D118" i="1"/>
  <c r="A120" i="1"/>
  <c r="A124" i="1"/>
  <c r="F118" i="1"/>
  <c r="A121" i="1"/>
  <c r="A125" i="1"/>
  <c r="A110" i="1"/>
  <c r="A111" i="1"/>
  <c r="A115" i="1"/>
  <c r="D110" i="1"/>
  <c r="A112" i="1"/>
  <c r="A116" i="1"/>
  <c r="F110" i="1"/>
  <c r="A113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<sst xmlns="http://schemas.openxmlformats.org/spreadsheetml/2006/main" count="545" uniqueCount="197">
  <si>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</si>
  <si>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</si>
  <si>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</si>
  <si>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</si>
  <si>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</si>
  <si>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</si>
  <si>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</si>
  <si>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</si>
  <si>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</si>
  <si>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</si>
  <si>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</si>
  <si>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</si>
  <si>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</si>
  <si>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</si>
  <si>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</si>
  <si>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</si>
  <si>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</si>
  <si>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</si>
  <si>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</si>
  <si>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</si>
  <si>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</si>
  <si>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</si>
  <si>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</si>
  <si>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</si>
  <si>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</si>
  <si>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</si>
  <si>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</si>
  <si>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</si>
  <si>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</si>
  <si>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</si>
  <si>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</si>
  <si>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</si>
  <si>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</si>
  <si>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</si>
  <si>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</si>
  <si>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</si>
  <si>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</si>
  <si>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</si>
  <si>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</si>
  <si>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</si>
  <si>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</si>
  <si>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</si>
  <si>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</si>
  <si>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</si>
  <si>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</si>
  <si>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</si>
  <si>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</si>
  <si>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</si>
  <si>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</si>
  <si>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</si>
  <si>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</si>
  <si>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</si>
  <si>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</si>
  <si>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</si>
  <si>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</si>
  <si>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</si>
  <si>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</si>
  <si>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</si>
  <si>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</si>
  <si>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</si>
  <si>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</si>
  <si>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</si>
  <si>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</si>
  <si>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</si>
  <si>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</si>
  <si>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</si>
  <si>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</si>
  <si>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</si>
  <si>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</si>
  <si>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</si>
  <si>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</si>
  <si>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</si>
  <si>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</si>
  <si>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</si>
  <si>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</si>
  <si>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</si>
  <si>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</si>
  <si>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</si>
  <si>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</si>
  <si>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</si>
  <si>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</si>
  <si>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</si>
  <si>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</si>
  <si>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</si>
  <si>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</si>
  <si>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</si>
  <si>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</si>
  <si>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</si>
  <si>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</si>
  <si>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</si>
  <si>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</si>
  <si>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</si>
  <si>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</si>
  <si>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</si>
  <si>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</si>
  <si>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</si>
  <si>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</si>
  <si>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</si>
  <si>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</si>
  <si>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</si>
  <si>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</si>
  <si>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</si>
  <si>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</si>
  <si>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</si>
  <si>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</si>
  <si>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</si>
  <si>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</si>
  <si>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</si>
  <si>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</si>
  <si>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</si>
  <si>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</si>
  <si>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</si>
  <si>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</si>
  <si>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</si>
  <si>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</si>
  <si>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</si>
  <si>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</si>
  <si>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</si>
  <si>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</si>
  <si>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</si>
  <si>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</si>
  <si>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</si>
  <si>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</si>
  <si>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</si>
  <si>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</si>
  <si>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</si>
  <si>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</si>
  <si>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</si>
  <si>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</si>
  <si>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</si>
  <si>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</si>
  <si>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</si>
  <si>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</si>
  <si>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</si>
  <si>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</si>
  <si>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</si>
  <si>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</si>
  <si>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</si>
  <si>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</si>
  <si>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</si>
  <si>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</si>
  <si>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</si>
  <si>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</si>
  <si>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</si>
  <si>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</si>
  <si>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</si>
  <si>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</si>
  <si>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</si>
  <si>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</si>
  <si>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</si>
  <si>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</si>
  <si>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</si>
  <si>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</si>
  <si>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</si>
  <si>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</si>
  <si>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</si>
  <si>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</si>
  <si>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</si>
  <si>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</si>
  <si>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</si>
  <si>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</si>
  <si>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</si>
  <si>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</si>
  <si>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</si>
  <si>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</si>
  <si>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</si>
  <si>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</si>
  <si>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</si>
  <si>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</si>
  <si>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</si>
  <si>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</si>
  <si>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</si>
  <si>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</si>
  <si>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</si>
  <si>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110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</si>
  <si>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</si>
  <si>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</si>
  <si>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</si>
  <si>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</si>
  <si>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ремонт подъезда</t>
  </si>
  <si>
    <t>Отчет об исполнении договора управления многоквартирного дома 
Березовый, 110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</si>
  <si>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</si>
  <si>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</si>
  <si>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</si>
  <si>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</si>
  <si>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</si>
  <si>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</si>
  <si>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</si>
  <si>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</si>
  <si>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ХВС.</t>
  </si>
  <si>
    <t>АВР 2/20 от 06.08.2020, счет №474 от 17.07.2020</t>
  </si>
  <si>
    <t>Изготовление и установка газонного ограждения.</t>
  </si>
  <si>
    <t>Замена прибора учета электрической энергии.</t>
  </si>
  <si>
    <t>АВР 4/20 от 13.07.2020</t>
  </si>
  <si>
    <t>АВР 3/20 от 09.08.2020, Решение</t>
  </si>
  <si>
    <t>Услуги и работы по управлению МКД</t>
  </si>
  <si>
    <t xml:space="preserve">  -  установка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</si>
</sst>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</cellStyleXfs>
  <cellXfs count="17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19" fillId="0" borderId="0" xfId="5" applyFont="1" applyFill="1" applyBorder="1" applyAlignment="1"/>
    <xf numFmtId="0" fontId="19" fillId="0" borderId="0" xfId="5" applyFont="1" applyFill="1" applyBorder="1" applyAlignment="1">
      <alignment horizontal="center"/>
    </xf>
    <xf numFmtId="4" fontId="19" fillId="0" borderId="0" xfId="5" applyNumberFormat="1" applyFont="1" applyFill="1" applyBorder="1" applyAlignment="1"/>
    <xf numFmtId="0" fontId="0" fillId="0" borderId="0" xfId="0" applyFill="1"/>
    <xf numFmtId="0" fontId="12" fillId="0" borderId="0" xfId="0" applyFont="1" applyBorder="1" applyAlignment="1"/>
    <xf numFmtId="4" fontId="12" fillId="0" borderId="0" xfId="0" applyNumberFormat="1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center"/>
    </xf>
    <xf numFmtId="0" fontId="19" fillId="0" borderId="0" xfId="10" applyFont="1" applyFill="1" applyBorder="1" applyAlignment="1">
      <alignment horizontal="center"/>
    </xf>
    <xf numFmtId="4" fontId="19" fillId="0" borderId="0" xfId="10" applyNumberFormat="1" applyFont="1" applyFill="1" applyBorder="1" applyAlignment="1"/>
    <xf numFmtId="4" fontId="19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4" fontId="12" fillId="0" borderId="0" xfId="0" applyNumberFormat="1" applyFont="1" applyBorder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11">
    <cellStyle name="Обычный" xfId="0" builtinId="0"/>
    <cellStyle name="Обычный 2" xfId="1"/>
    <cellStyle name="Обычный 2 2" xfId="3"/>
    <cellStyle name="Обычный 3" xfId="2"/>
    <cellStyle name="Обычный 3 2" xfId="9"/>
    <cellStyle name="Обычный 3 3" xfId="8"/>
    <cellStyle name="Обычный 3 4" xfId="7"/>
    <cellStyle name="Обычный 3 5" xfId="6"/>
    <cellStyle name="Обычный 4" xfId="4"/>
    <cellStyle name="Обычный 4 2" xfId="10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3" sqref="K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2"/>
      <c r="L8" s="159"/>
      <c r="M8" s="112"/>
      <c r="N8" s="112"/>
      <c r="O8" s="72" t="s">
        <v>81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2"/>
      <c r="L9" s="159"/>
      <c r="M9" s="112"/>
      <c r="N9" s="112"/>
      <c r="O9" s="72" t="s">
        <v>82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75549.950000000012</v>
      </c>
      <c r="K10" s="112"/>
      <c r="L10" s="159"/>
      <c r="M10" s="112"/>
      <c r="N10" s="112"/>
      <c r="O10" s="72" t="s">
        <v>83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247574.08</v>
      </c>
      <c r="K11" s="112"/>
      <c r="L11" s="159"/>
      <c r="M11" s="112"/>
      <c r="N11" s="112"/>
      <c r="O11" s="72" t="s">
        <v>84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108773.90999999999</v>
      </c>
      <c r="K12" s="112"/>
      <c r="L12" s="159"/>
      <c r="M12" s="112"/>
      <c r="N12" s="112"/>
      <c r="O12" s="72" t="s">
        <v>85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72044.639999999985</v>
      </c>
      <c r="K13" s="112"/>
      <c r="L13" s="159"/>
      <c r="M13" s="112"/>
      <c r="N13" s="112"/>
      <c r="O13" s="72" t="s">
        <v>86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66755.53</v>
      </c>
      <c r="K14" s="112"/>
      <c r="L14" s="159"/>
      <c r="M14" s="112"/>
      <c r="N14" s="112"/>
      <c r="O14" s="72" t="s">
        <v>87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239701.01</v>
      </c>
      <c r="K15" s="112"/>
      <c r="L15" s="159"/>
      <c r="M15" s="112"/>
      <c r="N15" s="112"/>
      <c r="O15" s="72" t="s">
        <v>88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239701.01</v>
      </c>
      <c r="K16" s="112"/>
      <c r="L16" s="159"/>
      <c r="M16" s="112"/>
      <c r="N16" s="112"/>
      <c r="O16" s="72" t="s">
        <v>89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2"/>
      <c r="L17" s="159"/>
      <c r="M17" s="112"/>
      <c r="N17" s="112"/>
      <c r="O17" s="72" t="s">
        <v>90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2"/>
      <c r="L18" s="159"/>
      <c r="M18" s="112"/>
      <c r="N18" s="112"/>
      <c r="O18" s="72" t="s">
        <v>91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2"/>
      <c r="L19" s="159"/>
      <c r="M19" s="112"/>
      <c r="N19" s="112"/>
      <c r="O19" s="72" t="s">
        <v>92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2"/>
      <c r="L20" s="159"/>
      <c r="M20" s="112"/>
      <c r="N20" s="112"/>
      <c r="O20" s="72" t="s">
        <v>93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239701.01</v>
      </c>
      <c r="K21" s="112"/>
      <c r="L21" s="159"/>
      <c r="M21" s="112"/>
      <c r="N21" s="112"/>
      <c r="O21" s="72" t="s">
        <v>94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2"/>
      <c r="L22" s="159"/>
      <c r="M22" s="112"/>
      <c r="N22" s="112"/>
      <c r="O22" s="72" t="s">
        <v>95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2"/>
      <c r="L23" s="159"/>
      <c r="M23" s="112"/>
      <c r="N23" s="112"/>
      <c r="O23" s="72" t="s">
        <v>96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83423.020000000019</v>
      </c>
      <c r="K24" s="112"/>
      <c r="L24" s="159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2"/>
      <c r="L27" s="16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25248.720000000001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12"/>
      <c r="L28" s="16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3" t="str">
        <f>ПТО!A40</f>
        <v>Услуги и работы по управлению МКД</v>
      </c>
      <c r="B29" s="143"/>
      <c r="C29" s="143"/>
      <c r="D29" s="143"/>
      <c r="E29" s="143"/>
      <c r="F29" s="148">
        <f>VLOOKUP(A29,ПТО!$A$39:$D$53,2,FALSE)</f>
        <v>66096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12"/>
      <c r="L29" s="160"/>
      <c r="M29" s="112"/>
      <c r="N29" s="112"/>
      <c r="O29" s="23" t="str">
        <f t="shared" si="1"/>
        <v>Услуги и работы по управлению МКД</v>
      </c>
      <c r="R29" s="1" t="s">
        <v>71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29082.240000000002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12"/>
      <c r="L30" s="16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15863.04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12"/>
      <c r="L31" s="16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12"/>
      <c r="L32" s="16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6609.6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12"/>
      <c r="L33" s="16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28685.64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12"/>
      <c r="L34" s="16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8" t="e">
        <f>VLOOKUP(A35,ПТО!$A$39:$D$53,2,FALSE)</f>
        <v>#N/A</v>
      </c>
      <c r="G35" s="148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12"/>
      <c r="L35" s="160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12"/>
      <c r="L36" s="16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12"/>
      <c r="L37" s="16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12"/>
      <c r="L38" s="16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12"/>
      <c r="L39" s="16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12"/>
      <c r="L40" s="16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12"/>
      <c r="L41" s="16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12"/>
      <c r="L42" s="16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3" t="str">
        <f>ПТО!A2</f>
        <v>Техническое обслуживание охранной сигнализации.</v>
      </c>
      <c r="B43" s="143"/>
      <c r="C43" s="143"/>
      <c r="D43" s="143"/>
      <c r="E43" s="143"/>
      <c r="F43" s="148">
        <f>VLOOKUP(A43,ПТО!$A$2:$D$31,4,FALSE)</f>
        <v>5400</v>
      </c>
      <c r="G43" s="148"/>
      <c r="H43" s="19" t="str">
        <f>VLOOKUP(A43,ПТО!$A$2:$D$31,2,FALSE)</f>
        <v>ежемесячно</v>
      </c>
      <c r="I43" s="144">
        <f>VLOOKUP(A43,ПТО!$A$2:$D$31,3,FALSE)</f>
        <v>12</v>
      </c>
      <c r="J43" s="144"/>
      <c r="K43" s="112"/>
      <c r="L43" s="160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3" t="str">
        <f>ПТО!A3</f>
        <v>Приобретение и установка таблички по пожарной безопасности.</v>
      </c>
      <c r="B44" s="143"/>
      <c r="C44" s="143"/>
      <c r="D44" s="143"/>
      <c r="E44" s="143"/>
      <c r="F44" s="148">
        <f>VLOOKUP(A44,ПТО!$A$2:$D$31,4,FALSE)</f>
        <v>250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12"/>
      <c r="L44" s="160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43" t="str">
        <f>ПТО!A4</f>
        <v>Замена прибора учета ХВС.</v>
      </c>
      <c r="B45" s="143"/>
      <c r="C45" s="143"/>
      <c r="D45" s="143"/>
      <c r="E45" s="143"/>
      <c r="F45" s="148">
        <f>VLOOKUP(A45,ПТО!$A$2:$D$31,4,FALSE)</f>
        <v>2195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12"/>
      <c r="L45" s="160"/>
      <c r="M45" s="119"/>
      <c r="N45" s="112"/>
      <c r="O45" s="23" t="str">
        <f t="shared" si="1"/>
        <v>Замена прибора учета ХВС.</v>
      </c>
      <c r="R45" s="22" t="s">
        <v>72</v>
      </c>
    </row>
    <row r="46" spans="1:18" ht="51" customHeight="1" outlineLevel="1">
      <c r="A46" s="143" t="str">
        <f>ПТО!A5</f>
        <v>Изготовление и установка газонного ограждения.</v>
      </c>
      <c r="B46" s="143"/>
      <c r="C46" s="143"/>
      <c r="D46" s="143"/>
      <c r="E46" s="143"/>
      <c r="F46" s="148">
        <f>VLOOKUP(A46,ПТО!$A$2:$D$31,4,FALSE)</f>
        <v>46500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12"/>
      <c r="L46" s="160"/>
      <c r="M46" s="119"/>
      <c r="N46" s="112"/>
      <c r="O46" s="23" t="str">
        <f t="shared" si="1"/>
        <v>Изготовление и установка газонного ограждения.</v>
      </c>
      <c r="R46" s="22" t="s">
        <v>72</v>
      </c>
    </row>
    <row r="47" spans="1:18" ht="51" customHeight="1" outlineLevel="1">
      <c r="A47" s="143" t="str">
        <f>ПТО!A6</f>
        <v>Замена прибора учета электрической энергии.</v>
      </c>
      <c r="B47" s="143"/>
      <c r="C47" s="143"/>
      <c r="D47" s="143"/>
      <c r="E47" s="143"/>
      <c r="F47" s="148">
        <f>VLOOKUP(A47,ПТО!$A$2:$D$31,4,FALSE)</f>
        <v>7209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12"/>
      <c r="L47" s="160"/>
      <c r="M47" s="119"/>
      <c r="N47" s="112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hidden="1" customHeight="1" outlineLevel="1">
      <c r="A48" s="143">
        <f>ПТО!A7</f>
        <v>0</v>
      </c>
      <c r="B48" s="143"/>
      <c r="C48" s="143"/>
      <c r="D48" s="143"/>
      <c r="E48" s="143"/>
      <c r="F48" s="148" t="e">
        <f>VLOOKUP(A48,ПТО!$A$2:$D$31,4,FALSE)</f>
        <v>#N/A</v>
      </c>
      <c r="G48" s="148"/>
      <c r="H48" s="25" t="e">
        <f>VLOOKUP(A48,ПТО!$A$2:$D$31,2,FALSE)</f>
        <v>#N/A</v>
      </c>
      <c r="I48" s="144" t="e">
        <f>VLOOKUP(A48,ПТО!$A$2:$D$31,3,FALSE)</f>
        <v>#N/A</v>
      </c>
      <c r="J48" s="144"/>
      <c r="K48" s="112"/>
      <c r="L48" s="16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3">
        <f>ПТО!A8</f>
        <v>0</v>
      </c>
      <c r="B49" s="143"/>
      <c r="C49" s="143"/>
      <c r="D49" s="143"/>
      <c r="E49" s="143"/>
      <c r="F49" s="148" t="e">
        <f>VLOOKUP(A49,ПТО!$A$2:$D$31,4,FALSE)</f>
        <v>#N/A</v>
      </c>
      <c r="G49" s="148"/>
      <c r="H49" s="25" t="e">
        <f>VLOOKUP(A49,ПТО!$A$2:$D$31,2,FALSE)</f>
        <v>#N/A</v>
      </c>
      <c r="I49" s="144" t="e">
        <f>VLOOKUP(A49,ПТО!$A$2:$D$31,3,FALSE)</f>
        <v>#N/A</v>
      </c>
      <c r="J49" s="144"/>
      <c r="K49" s="112"/>
      <c r="L49" s="16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3">
        <f>ПТО!A9</f>
        <v>0</v>
      </c>
      <c r="B50" s="143"/>
      <c r="C50" s="143"/>
      <c r="D50" s="143"/>
      <c r="E50" s="143"/>
      <c r="F50" s="148" t="e">
        <f>VLOOKUP(A50,ПТО!$A$2:$D$31,4,FALSE)</f>
        <v>#N/A</v>
      </c>
      <c r="G50" s="148"/>
      <c r="H50" s="25" t="e">
        <f>VLOOKUP(A50,ПТО!$A$2:$D$31,2,FALSE)</f>
        <v>#N/A</v>
      </c>
      <c r="I50" s="144" t="e">
        <f>VLOOKUP(A50,ПТО!$A$2:$D$31,3,FALSE)</f>
        <v>#N/A</v>
      </c>
      <c r="J50" s="144"/>
      <c r="K50" s="112"/>
      <c r="L50" s="16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3">
        <f>ПТО!A10</f>
        <v>0</v>
      </c>
      <c r="B51" s="143"/>
      <c r="C51" s="143"/>
      <c r="D51" s="143"/>
      <c r="E51" s="143"/>
      <c r="F51" s="148" t="e">
        <f>VLOOKUP(A51,ПТО!$A$2:$D$31,4,FALSE)</f>
        <v>#N/A</v>
      </c>
      <c r="G51" s="148"/>
      <c r="H51" s="25" t="e">
        <f>VLOOKUP(A51,ПТО!$A$2:$D$31,2,FALSE)</f>
        <v>#N/A</v>
      </c>
      <c r="I51" s="144" t="e">
        <f>VLOOKUP(A51,ПТО!$A$2:$D$31,3,FALSE)</f>
        <v>#N/A</v>
      </c>
      <c r="J51" s="144"/>
      <c r="K51" s="112"/>
      <c r="L51" s="16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3">
        <f>ПТО!A11</f>
        <v>0</v>
      </c>
      <c r="B52" s="143"/>
      <c r="C52" s="143"/>
      <c r="D52" s="143"/>
      <c r="E52" s="143"/>
      <c r="F52" s="148" t="e">
        <f>VLOOKUP(A52,ПТО!$A$2:$D$31,4,FALSE)</f>
        <v>#N/A</v>
      </c>
      <c r="G52" s="148"/>
      <c r="H52" s="25" t="e">
        <f>VLOOKUP(A52,ПТО!$A$2:$D$31,2,FALSE)</f>
        <v>#N/A</v>
      </c>
      <c r="I52" s="144" t="e">
        <f>VLOOKUP(A52,ПТО!$A$2:$D$31,3,FALSE)</f>
        <v>#N/A</v>
      </c>
      <c r="J52" s="144"/>
      <c r="K52" s="112"/>
      <c r="L52" s="16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3">
        <f>ПТО!A12</f>
        <v>0</v>
      </c>
      <c r="B53" s="143"/>
      <c r="C53" s="143"/>
      <c r="D53" s="143"/>
      <c r="E53" s="143"/>
      <c r="F53" s="148" t="e">
        <f>VLOOKUP(A53,ПТО!$A$2:$D$31,4,FALSE)</f>
        <v>#N/A</v>
      </c>
      <c r="G53" s="148"/>
      <c r="H53" s="25" t="e">
        <f>VLOOKUP(A53,ПТО!$A$2:$D$31,2,FALSE)</f>
        <v>#N/A</v>
      </c>
      <c r="I53" s="144" t="e">
        <f>VLOOKUP(A53,ПТО!$A$2:$D$31,3,FALSE)</f>
        <v>#N/A</v>
      </c>
      <c r="J53" s="144"/>
      <c r="K53" s="112"/>
      <c r="L53" s="16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3">
        <f>ПТО!A13</f>
        <v>0</v>
      </c>
      <c r="B54" s="143"/>
      <c r="C54" s="143"/>
      <c r="D54" s="143"/>
      <c r="E54" s="143"/>
      <c r="F54" s="148" t="e">
        <f>VLOOKUP(A54,ПТО!$A$2:$D$31,4,FALSE)</f>
        <v>#N/A</v>
      </c>
      <c r="G54" s="148"/>
      <c r="H54" s="25" t="e">
        <f>VLOOKUP(A54,ПТО!$A$2:$D$31,2,FALSE)</f>
        <v>#N/A</v>
      </c>
      <c r="I54" s="144" t="e">
        <f>VLOOKUP(A54,ПТО!$A$2:$D$31,3,FALSE)</f>
        <v>#N/A</v>
      </c>
      <c r="J54" s="144"/>
      <c r="K54" s="112"/>
      <c r="L54" s="16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3">
        <f>ПТО!A14</f>
        <v>0</v>
      </c>
      <c r="B55" s="143"/>
      <c r="C55" s="143"/>
      <c r="D55" s="143"/>
      <c r="E55" s="143"/>
      <c r="F55" s="148" t="e">
        <f>VLOOKUP(A55,ПТО!$A$2:$D$31,4,FALSE)</f>
        <v>#N/A</v>
      </c>
      <c r="G55" s="148"/>
      <c r="H55" s="25" t="e">
        <f>VLOOKUP(A55,ПТО!$A$2:$D$31,2,FALSE)</f>
        <v>#N/A</v>
      </c>
      <c r="I55" s="144" t="e">
        <f>VLOOKUP(A55,ПТО!$A$2:$D$31,3,FALSE)</f>
        <v>#N/A</v>
      </c>
      <c r="J55" s="144"/>
      <c r="K55" s="112"/>
      <c r="L55" s="16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3">
        <f>ПТО!A15</f>
        <v>0</v>
      </c>
      <c r="B56" s="143"/>
      <c r="C56" s="143"/>
      <c r="D56" s="143"/>
      <c r="E56" s="143"/>
      <c r="F56" s="148" t="e">
        <f>VLOOKUP(A56,ПТО!$A$2:$D$31,4,FALSE)</f>
        <v>#N/A</v>
      </c>
      <c r="G56" s="148"/>
      <c r="H56" s="25" t="e">
        <f>VLOOKUP(A56,ПТО!$A$2:$D$31,2,FALSE)</f>
        <v>#N/A</v>
      </c>
      <c r="I56" s="144" t="e">
        <f>VLOOKUP(A56,ПТО!$A$2:$D$31,3,FALSE)</f>
        <v>#N/A</v>
      </c>
      <c r="J56" s="144"/>
      <c r="K56" s="112"/>
      <c r="L56" s="16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12"/>
      <c r="L57" s="16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12"/>
      <c r="L58" s="16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12"/>
      <c r="L59" s="16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12"/>
      <c r="L60" s="16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12"/>
      <c r="L61" s="16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12"/>
      <c r="L62" s="16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12"/>
      <c r="L63" s="16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12"/>
      <c r="L64" s="16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12"/>
      <c r="L65" s="16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12"/>
      <c r="L66" s="16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12"/>
      <c r="L67" s="16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12"/>
      <c r="L68" s="16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12"/>
      <c r="L69" s="16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12"/>
      <c r="L70" s="16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9"/>
      <c r="L71" s="16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12"/>
      <c r="L72" s="16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12"/>
      <c r="L75" s="163"/>
      <c r="M75" s="112"/>
      <c r="N75" s="112"/>
      <c r="O75" s="72" t="s">
        <v>98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12"/>
      <c r="L76" s="163"/>
      <c r="M76" s="112"/>
      <c r="N76" s="112"/>
      <c r="O76" s="72" t="s">
        <v>99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12"/>
      <c r="L77" s="163"/>
      <c r="M77" s="112"/>
      <c r="N77" s="112"/>
      <c r="O77" s="72" t="s">
        <v>100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9">
        <f>VLOOKUP(O78,АО,3,FALSE)</f>
        <v>0</v>
      </c>
      <c r="K78" s="112"/>
      <c r="L78" s="163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9">
        <f t="shared" ref="J81:J90" si="2">VLOOKUP(O81,АО,3,FALSE)</f>
        <v>0</v>
      </c>
      <c r="K81" s="112"/>
      <c r="L81" s="149"/>
      <c r="M81" s="112"/>
      <c r="N81" s="112"/>
      <c r="O81" s="72" t="s">
        <v>102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9">
        <f t="shared" si="2"/>
        <v>0</v>
      </c>
      <c r="K82" s="112"/>
      <c r="L82" s="149"/>
      <c r="M82" s="112"/>
      <c r="N82" s="112"/>
      <c r="O82" s="72" t="s">
        <v>103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9">
        <f t="shared" si="2"/>
        <v>41024.1</v>
      </c>
      <c r="K83" s="112"/>
      <c r="L83" s="149"/>
      <c r="M83" s="112"/>
      <c r="N83" s="112"/>
      <c r="O83" s="72" t="s">
        <v>104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9">
        <f t="shared" si="2"/>
        <v>0</v>
      </c>
      <c r="K84" s="112"/>
      <c r="L84" s="149"/>
      <c r="M84" s="112"/>
      <c r="N84" s="112"/>
      <c r="O84" s="72" t="s">
        <v>105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9">
        <f t="shared" si="2"/>
        <v>0</v>
      </c>
      <c r="K85" s="112"/>
      <c r="L85" s="149"/>
      <c r="M85" s="112"/>
      <c r="N85" s="112"/>
      <c r="O85" s="72" t="s">
        <v>106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9">
        <f t="shared" si="2"/>
        <v>9189.71000000001</v>
      </c>
      <c r="K86" s="112"/>
      <c r="L86" s="149"/>
      <c r="M86" s="112"/>
      <c r="N86" s="112"/>
      <c r="O86" s="72" t="s">
        <v>107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2"/>
      <c r="L87" s="149"/>
      <c r="M87" s="112"/>
      <c r="N87" s="112"/>
      <c r="O87" s="72" t="s">
        <v>108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2"/>
      <c r="L88" s="149"/>
      <c r="M88" s="112"/>
      <c r="N88" s="112"/>
      <c r="O88" s="72" t="s">
        <v>109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2"/>
      <c r="L89" s="149"/>
      <c r="M89" s="112"/>
      <c r="N89" s="112"/>
      <c r="O89" s="72" t="s">
        <v>110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9">
        <f t="shared" si="2"/>
        <v>0</v>
      </c>
      <c r="K90" s="112"/>
      <c r="L90" s="149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12"/>
      <c r="L93" s="112"/>
      <c r="M93" s="112"/>
      <c r="N93" s="112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21439.460000000003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18806.543859649126</v>
      </c>
      <c r="L95" s="150"/>
      <c r="O95" s="1" t="s">
        <v>112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34826.19</v>
      </c>
      <c r="L96" s="150"/>
      <c r="O96" s="1" t="s">
        <v>113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0</v>
      </c>
      <c r="L97" s="150"/>
      <c r="O97" s="1" t="s">
        <v>114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21439.460000000003</v>
      </c>
      <c r="L98" s="150"/>
      <c r="O98" s="1" t="s">
        <v>115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21439.460000000003</v>
      </c>
      <c r="L99" s="150"/>
      <c r="O99" s="1" t="s">
        <v>116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117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118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3222.3899999999994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238.16629711751659</v>
      </c>
      <c r="L103" s="150"/>
      <c r="O103" s="1" t="s">
        <v>121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10033.639999999998</v>
      </c>
      <c r="L104" s="150"/>
      <c r="O104" s="1" t="s">
        <v>122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0</v>
      </c>
      <c r="L105" s="150"/>
      <c r="O105" s="1" t="s">
        <v>123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3222.3899999999994</v>
      </c>
      <c r="L106" s="150"/>
      <c r="O106" s="1" t="s">
        <v>124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3222.3899999999994</v>
      </c>
      <c r="L107" s="150"/>
      <c r="O107" s="1" t="s">
        <v>125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126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127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3570.9300000000007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231.42773817239149</v>
      </c>
      <c r="L111" s="150"/>
      <c r="O111" s="1" t="s">
        <v>129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11068.08</v>
      </c>
      <c r="L112" s="150"/>
      <c r="O112" s="1" t="s">
        <v>130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0"/>
      <c r="O113" s="1" t="s">
        <v>131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3570.9300000000007</v>
      </c>
      <c r="L114" s="150"/>
      <c r="O114" s="1" t="s">
        <v>132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3570.9300000000007</v>
      </c>
      <c r="L115" s="150"/>
      <c r="O115" s="1" t="s">
        <v>133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134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135</v>
      </c>
    </row>
    <row r="118" spans="1:15" ht="32.25" hidden="1" customHeight="1" outlineLevel="1">
      <c r="A118" s="145">
        <f>IF(VLOOKUP("тко",АО,3,FALSE)&gt;0,"Обращение с ТКО",0)</f>
        <v>0</v>
      </c>
      <c r="B118" s="145"/>
      <c r="C118" s="145"/>
      <c r="D118" s="146">
        <f>IF(VLOOKUP("тко",АО,3,FALSE)&gt;0,VLOOKUP("тко",АО,3,FALSE),0)</f>
        <v>0</v>
      </c>
      <c r="E118" s="146"/>
      <c r="F118" s="13">
        <f>IF(VLOOKUP("тко",АО,3,FALSE)&gt;0,VLOOKUP("тко",АО,4,FALSE),0)</f>
        <v>0</v>
      </c>
      <c r="G118" s="147">
        <f>VLOOKUP("тко",АО,5,FALSE)</f>
        <v>0</v>
      </c>
      <c r="H118" s="146"/>
      <c r="I118" s="146"/>
      <c r="J118" s="146"/>
      <c r="L118" s="49"/>
    </row>
    <row r="119" spans="1:15" ht="32.25" hidden="1" customHeight="1" outlineLevel="2">
      <c r="A119" s="141">
        <f t="shared" ref="A119:A125" si="8">IF(VLOOKUP("тко",АО,3,FALSE)&gt;0,VLOOKUP(O119,АО,2,FALSE),0)</f>
        <v>0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41">
        <f t="shared" si="8"/>
        <v>0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41">
        <f t="shared" si="8"/>
        <v>0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41">
        <f t="shared" si="8"/>
        <v>0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41">
        <f t="shared" si="8"/>
        <v>0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41">
        <f t="shared" si="8"/>
        <v>0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41">
        <f t="shared" si="8"/>
        <v>0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45">
        <f>IF(VLOOKUP("гвс",АО,3,FALSE)&gt;0,"Горячее водоснабжение",0)</f>
        <v>0</v>
      </c>
      <c r="B126" s="145"/>
      <c r="C126" s="145"/>
      <c r="D126" s="146">
        <f>IF(VLOOKUP("гвс",АО,3,FALSE)&gt;0,VLOOKUP("гвс",АО,3,FALSE),0)</f>
        <v>0</v>
      </c>
      <c r="E126" s="146"/>
      <c r="F126" s="13">
        <f>IF(VLOOKUP("гвс",АО,3,FALSE)&gt;0,VLOOKUP("гвс",АО,4,FALSE),0)</f>
        <v>0</v>
      </c>
      <c r="G126" s="147">
        <f>VLOOKUP("гвс",АО,5,FALSE)</f>
        <v>0</v>
      </c>
      <c r="H126" s="146"/>
      <c r="I126" s="146"/>
      <c r="J126" s="146"/>
      <c r="L126" s="49"/>
    </row>
    <row r="127" spans="1:15" ht="32.25" hidden="1" customHeight="1" outlineLevel="2">
      <c r="A127" s="141">
        <f t="shared" ref="A127:A133" si="10">IF(VLOOKUP("гвс",АО,3,FALSE)&gt;0,VLOOKUP(O127,АО,2,FALSE),0)</f>
        <v>0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41">
        <f t="shared" si="10"/>
        <v>0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41">
        <f t="shared" si="10"/>
        <v>0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41">
        <f t="shared" si="10"/>
        <v>0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41">
        <f t="shared" si="10"/>
        <v>0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41">
        <f t="shared" si="10"/>
        <v>0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41">
        <f t="shared" si="10"/>
        <v>0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9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169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41" t="s">
        <v>172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2543.09</v>
      </c>
      <c r="O146" t="s">
        <v>171</v>
      </c>
    </row>
    <row r="149" spans="1:15" ht="52.5" customHeight="1">
      <c r="A149" s="166" t="s">
        <v>180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8" t="s">
        <v>181</v>
      </c>
      <c r="B154" s="168"/>
      <c r="C154" s="168"/>
      <c r="D154" s="168"/>
      <c r="E154" s="27">
        <f>ПТО!G1</f>
        <v>-68320.39</v>
      </c>
    </row>
    <row r="155" spans="1:15" ht="34.5" customHeight="1">
      <c r="A155" s="167" t="s">
        <v>185</v>
      </c>
      <c r="B155" s="167"/>
      <c r="C155" s="167"/>
      <c r="D155" s="167"/>
      <c r="E155" s="28">
        <f>J13</f>
        <v>72044.639999999985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Техническое обслуживание охранной сигнализации.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5400</v>
      </c>
      <c r="G158" s="148"/>
      <c r="H158" s="24" t="str">
        <f t="shared" ref="H158:H187" si="16">VLOOKUP(A158,$A$28:$J$72,8,FALSE)</f>
        <v>ежемесячно</v>
      </c>
      <c r="I158" s="144">
        <f t="shared" ref="I158:I161" si="17">VLOOKUP(A158,$A$28:$J$72,9,FALSE)</f>
        <v>12</v>
      </c>
      <c r="J158" s="14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3" t="str">
        <f t="shared" si="14"/>
        <v>Приобретение и установка таблички по пожарной безопасности.</v>
      </c>
      <c r="B159" s="143"/>
      <c r="C159" s="143"/>
      <c r="D159" s="143"/>
      <c r="E159" s="143"/>
      <c r="F159" s="148">
        <f t="shared" si="15"/>
        <v>250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43" t="str">
        <f t="shared" si="14"/>
        <v>Замена прибора учета ХВС.</v>
      </c>
      <c r="B160" s="143"/>
      <c r="C160" s="143"/>
      <c r="D160" s="143"/>
      <c r="E160" s="143"/>
      <c r="F160" s="148">
        <f t="shared" si="15"/>
        <v>2195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72</v>
      </c>
      <c r="N160" s="1" t="str">
        <v>Замена прибора учета ХВС.</v>
      </c>
    </row>
    <row r="161" spans="1:14" ht="28.5" customHeight="1">
      <c r="A161" s="143" t="str">
        <f>IF(N161&gt;0,N161,0)</f>
        <v>Изготовление и установка газонного ограждения.</v>
      </c>
      <c r="B161" s="143"/>
      <c r="C161" s="143"/>
      <c r="D161" s="143"/>
      <c r="E161" s="143"/>
      <c r="F161" s="148">
        <f t="shared" si="15"/>
        <v>46500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72</v>
      </c>
      <c r="N161" s="1" t="str">
        <v>Изготовление и установка газонного ограждения.</v>
      </c>
    </row>
    <row r="162" spans="1:14" ht="28.5" customHeight="1">
      <c r="A162" s="143" t="str">
        <f t="shared" si="14"/>
        <v>Замена прибора учета электрической энергии.</v>
      </c>
      <c r="B162" s="143"/>
      <c r="C162" s="143"/>
      <c r="D162" s="143"/>
      <c r="E162" s="143"/>
      <c r="F162" s="148">
        <f t="shared" si="15"/>
        <v>7209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72</v>
      </c>
      <c r="N162" s="1" t="str">
        <v>Замена прибора учета электрической энергии.</v>
      </c>
    </row>
    <row r="163" spans="1:14" ht="28.5" hidden="1" customHeight="1">
      <c r="A163" s="143">
        <f t="shared" si="14"/>
        <v>0</v>
      </c>
      <c r="B163" s="143"/>
      <c r="C163" s="143"/>
      <c r="D163" s="143"/>
      <c r="E163" s="143"/>
      <c r="F163" s="148">
        <f t="shared" si="15"/>
        <v>0</v>
      </c>
      <c r="G163" s="148"/>
      <c r="H163" s="24" t="e">
        <f t="shared" si="16"/>
        <v>#N/A</v>
      </c>
      <c r="I163" s="144" t="e">
        <f>VLOOKUP(A163,$A$28:$J$72,9,FALSE)</f>
        <v>#N/A</v>
      </c>
      <c r="J163" s="144"/>
      <c r="M163" s="22" t="s">
        <v>72</v>
      </c>
      <c r="N163" s="1">
        <v>0</v>
      </c>
    </row>
    <row r="164" spans="1:14" ht="28.5" hidden="1" customHeight="1">
      <c r="A164" s="143">
        <f t="shared" ref="A164:A187" si="18">IF(N164&gt;0,N164,0)</f>
        <v>0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0</v>
      </c>
      <c r="G164" s="148"/>
      <c r="H164" s="29" t="e">
        <f t="shared" si="16"/>
        <v>#N/A</v>
      </c>
      <c r="I164" s="144" t="e">
        <f t="shared" ref="I164:I187" si="20">VLOOKUP(A164,$A$28:$J$72,9,FALSE)</f>
        <v>#N/A</v>
      </c>
      <c r="J164" s="144"/>
      <c r="M164" s="22" t="s">
        <v>72</v>
      </c>
      <c r="N164" s="1">
        <v>0</v>
      </c>
    </row>
    <row r="165" spans="1:14" ht="28.5" hidden="1" customHeight="1">
      <c r="A165" s="143">
        <f t="shared" si="18"/>
        <v>0</v>
      </c>
      <c r="B165" s="143"/>
      <c r="C165" s="143"/>
      <c r="D165" s="143"/>
      <c r="E165" s="143"/>
      <c r="F165" s="148">
        <f t="shared" si="19"/>
        <v>0</v>
      </c>
      <c r="G165" s="148"/>
      <c r="H165" s="29" t="e">
        <f t="shared" si="16"/>
        <v>#N/A</v>
      </c>
      <c r="I165" s="144" t="e">
        <f t="shared" si="20"/>
        <v>#N/A</v>
      </c>
      <c r="J165" s="144"/>
      <c r="M165" s="22" t="s">
        <v>72</v>
      </c>
      <c r="N165" s="1">
        <v>0</v>
      </c>
    </row>
    <row r="166" spans="1:14" ht="28.5" hidden="1" customHeight="1">
      <c r="A166" s="143">
        <f t="shared" si="18"/>
        <v>0</v>
      </c>
      <c r="B166" s="143"/>
      <c r="C166" s="143"/>
      <c r="D166" s="143"/>
      <c r="E166" s="143"/>
      <c r="F166" s="148">
        <f t="shared" si="19"/>
        <v>0</v>
      </c>
      <c r="G166" s="148"/>
      <c r="H166" s="29" t="e">
        <f t="shared" si="16"/>
        <v>#N/A</v>
      </c>
      <c r="I166" s="144" t="e">
        <f t="shared" si="20"/>
        <v>#N/A</v>
      </c>
      <c r="J166" s="144"/>
      <c r="M166" s="22" t="s">
        <v>72</v>
      </c>
      <c r="N166" s="1">
        <v>0</v>
      </c>
    </row>
    <row r="167" spans="1:14" ht="28.5" hidden="1" customHeight="1">
      <c r="A167" s="143">
        <f t="shared" si="18"/>
        <v>0</v>
      </c>
      <c r="B167" s="143"/>
      <c r="C167" s="143"/>
      <c r="D167" s="143"/>
      <c r="E167" s="143"/>
      <c r="F167" s="148">
        <f t="shared" si="19"/>
        <v>0</v>
      </c>
      <c r="G167" s="148"/>
      <c r="H167" s="29" t="e">
        <f t="shared" si="16"/>
        <v>#N/A</v>
      </c>
      <c r="I167" s="144" t="e">
        <f t="shared" si="20"/>
        <v>#N/A</v>
      </c>
      <c r="J167" s="144"/>
      <c r="M167" s="22" t="s">
        <v>72</v>
      </c>
      <c r="N167" s="1">
        <v>0</v>
      </c>
    </row>
    <row r="168" spans="1:14" ht="28.5" hidden="1" customHeight="1">
      <c r="A168" s="143">
        <f t="shared" si="18"/>
        <v>0</v>
      </c>
      <c r="B168" s="143"/>
      <c r="C168" s="143"/>
      <c r="D168" s="143"/>
      <c r="E168" s="143"/>
      <c r="F168" s="148">
        <f t="shared" si="19"/>
        <v>0</v>
      </c>
      <c r="G168" s="148"/>
      <c r="H168" s="29" t="e">
        <f t="shared" si="16"/>
        <v>#N/A</v>
      </c>
      <c r="I168" s="144" t="e">
        <f t="shared" si="20"/>
        <v>#N/A</v>
      </c>
      <c r="J168" s="144"/>
      <c r="M168" s="22" t="s">
        <v>72</v>
      </c>
      <c r="N168" s="1">
        <v>0</v>
      </c>
    </row>
    <row r="169" spans="1:14" ht="28.5" hidden="1" customHeight="1">
      <c r="A169" s="143">
        <f t="shared" si="18"/>
        <v>0</v>
      </c>
      <c r="B169" s="143"/>
      <c r="C169" s="143"/>
      <c r="D169" s="143"/>
      <c r="E169" s="143"/>
      <c r="F169" s="148">
        <f t="shared" si="19"/>
        <v>0</v>
      </c>
      <c r="G169" s="148"/>
      <c r="H169" s="29" t="e">
        <f t="shared" si="16"/>
        <v>#N/A</v>
      </c>
      <c r="I169" s="144" t="e">
        <f t="shared" si="20"/>
        <v>#N/A</v>
      </c>
      <c r="J169" s="144"/>
      <c r="M169" s="22" t="s">
        <v>72</v>
      </c>
      <c r="N169" s="1">
        <v>0</v>
      </c>
    </row>
    <row r="170" spans="1:14" ht="28.5" hidden="1" customHeight="1">
      <c r="A170" s="143">
        <f t="shared" si="18"/>
        <v>0</v>
      </c>
      <c r="B170" s="143"/>
      <c r="C170" s="143"/>
      <c r="D170" s="143"/>
      <c r="E170" s="143"/>
      <c r="F170" s="148">
        <f t="shared" si="19"/>
        <v>0</v>
      </c>
      <c r="G170" s="148"/>
      <c r="H170" s="29" t="e">
        <f t="shared" si="16"/>
        <v>#N/A</v>
      </c>
      <c r="I170" s="144" t="e">
        <f t="shared" si="20"/>
        <v>#N/A</v>
      </c>
      <c r="J170" s="144"/>
      <c r="M170" s="22" t="s">
        <v>72</v>
      </c>
      <c r="N170" s="1">
        <v>0</v>
      </c>
    </row>
    <row r="171" spans="1:14" ht="28.5" hidden="1" customHeight="1">
      <c r="A171" s="143">
        <f t="shared" si="18"/>
        <v>0</v>
      </c>
      <c r="B171" s="143"/>
      <c r="C171" s="143"/>
      <c r="D171" s="143"/>
      <c r="E171" s="143"/>
      <c r="F171" s="148">
        <f t="shared" si="19"/>
        <v>0</v>
      </c>
      <c r="G171" s="148"/>
      <c r="H171" s="29" t="e">
        <f t="shared" si="16"/>
        <v>#N/A</v>
      </c>
      <c r="I171" s="144" t="e">
        <f t="shared" si="20"/>
        <v>#N/A</v>
      </c>
      <c r="J171" s="144"/>
      <c r="M171" s="22" t="s">
        <v>72</v>
      </c>
      <c r="N171" s="1">
        <v>0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72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72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72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72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72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72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72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72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72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72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72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72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72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72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72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68" t="s">
        <v>184</v>
      </c>
      <c r="B190" s="168"/>
      <c r="C190" s="168"/>
      <c r="D190" s="168"/>
      <c r="E190" s="27">
        <f>SUM(F158:G187)</f>
        <v>61554</v>
      </c>
    </row>
    <row r="191" spans="1:14" ht="51.75" customHeight="1">
      <c r="A191" s="168" t="s">
        <v>183</v>
      </c>
      <c r="B191" s="168"/>
      <c r="C191" s="168"/>
      <c r="D191" s="168"/>
      <c r="E191" s="27">
        <f>E190+E154-E155</f>
        <v>-78811.029999999984</v>
      </c>
    </row>
    <row r="192" spans="1:14">
      <c r="A192" s="107" t="s">
        <v>173</v>
      </c>
    </row>
    <row r="193" spans="1:10" ht="62.25" customHeight="1">
      <c r="A193" s="142" t="s">
        <v>182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51">
        <f>ПТО!G12</f>
        <v>1200</v>
      </c>
      <c r="I194" s="52" t="s">
        <v>74</v>
      </c>
    </row>
    <row r="195" spans="1:10" ht="18.75" customHeight="1">
      <c r="A195" s="140" t="str">
        <f>ПТО!F13</f>
        <v xml:space="preserve">  -  техническое обслуживание охранной сигнализации</v>
      </c>
      <c r="B195" s="140"/>
      <c r="C195" s="140"/>
      <c r="D195" s="140"/>
      <c r="E195" s="140"/>
      <c r="F195" s="140"/>
      <c r="G195" s="140"/>
      <c r="H195" s="51">
        <f>ПТО!G13</f>
        <v>5400</v>
      </c>
      <c r="I195" s="52" t="s">
        <v>74</v>
      </c>
    </row>
    <row r="196" spans="1:10" ht="18.75" customHeight="1">
      <c r="A196" s="140" t="str">
        <f>ПТО!F14</f>
        <v xml:space="preserve">  -  ремонт подъезда</v>
      </c>
      <c r="B196" s="140"/>
      <c r="C196" s="140"/>
      <c r="D196" s="140"/>
      <c r="E196" s="140"/>
      <c r="F196" s="140"/>
      <c r="G196" s="140"/>
      <c r="H196" s="51">
        <f>ПТО!G14</f>
        <v>170000</v>
      </c>
      <c r="I196" s="52" t="s">
        <v>74</v>
      </c>
    </row>
    <row r="197" spans="1:10" ht="18.75" customHeight="1">
      <c r="A197" s="140" t="str">
        <f>ПТО!F15</f>
        <v xml:space="preserve">  -  установка системы видеонаблюдения</v>
      </c>
      <c r="B197" s="140"/>
      <c r="C197" s="140"/>
      <c r="D197" s="140"/>
      <c r="E197" s="140"/>
      <c r="F197" s="140"/>
      <c r="G197" s="140"/>
      <c r="H197" s="51">
        <f>ПТО!G15</f>
        <v>40000</v>
      </c>
      <c r="I197" s="52" t="s">
        <v>74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51">
        <f>ПТО!G16</f>
        <v>0</v>
      </c>
      <c r="I198" s="54" t="s">
        <v>74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51">
        <f>ПТО!G17</f>
        <v>0</v>
      </c>
      <c r="I199" s="52" t="s">
        <v>74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51">
        <f>ПТО!G18</f>
        <v>0</v>
      </c>
      <c r="I200" s="52" t="s">
        <v>74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51">
        <f>ПТО!G19</f>
        <v>0</v>
      </c>
      <c r="I201" s="52" t="s">
        <v>74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51">
        <f>ПТО!G20</f>
        <v>0</v>
      </c>
      <c r="I202" s="52" t="s">
        <v>74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51">
        <f>ПТО!G21</f>
        <v>0</v>
      </c>
      <c r="I203" s="52" t="s">
        <v>74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51">
        <f>ПТО!G22</f>
        <v>0</v>
      </c>
      <c r="I204" s="52" t="s">
        <v>74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51">
        <f>ПТО!G23</f>
        <v>0</v>
      </c>
      <c r="I205" s="52" t="s">
        <v>74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51">
        <f>ПТО!G24</f>
        <v>0</v>
      </c>
      <c r="I206" s="52" t="s">
        <v>74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51">
        <f>ПТО!G25</f>
        <v>0</v>
      </c>
      <c r="I207" s="52" t="s">
        <v>74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51">
        <f>ПТО!G26</f>
        <v>0</v>
      </c>
      <c r="I208" s="52" t="s">
        <v>74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51">
        <f>ПТО!G27</f>
        <v>0</v>
      </c>
      <c r="I209" s="52" t="s">
        <v>74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51">
        <f>ПТО!G28</f>
        <v>0</v>
      </c>
      <c r="I210" s="52" t="s">
        <v>74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51">
        <f>ПТО!G29</f>
        <v>0</v>
      </c>
      <c r="I211" s="52" t="s">
        <v>74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51">
        <f>ПТО!G30</f>
        <v>0</v>
      </c>
      <c r="I212" s="52" t="s">
        <v>74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216600</v>
      </c>
      <c r="I214" s="58" t="s">
        <v>76</v>
      </c>
    </row>
  </sheetData>
  <sheetProtection algorithmName="SHA-512" hashValue="9cW5HwlnGqO4l3/DuggIG0dFxewMFFNuClNdgElRmJIKblUpK330kaa0ez3bGcnB3FhQ8dV0srF1DHNX7TS8Qg==" saltValue="/PeY6vQ0Qr1xKSbSXG4yA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-68320.39</f>
        <v>-68320.39</v>
      </c>
    </row>
    <row r="2" spans="1:12" ht="18.75" customHeight="1">
      <c r="A2" s="121" t="s">
        <v>177</v>
      </c>
      <c r="B2" s="122" t="s">
        <v>175</v>
      </c>
      <c r="C2" s="122">
        <v>12</v>
      </c>
      <c r="D2" s="123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186</v>
      </c>
      <c r="B3" s="128" t="s">
        <v>187</v>
      </c>
      <c r="C3" s="129">
        <v>1</v>
      </c>
      <c r="D3" s="130">
        <v>250</v>
      </c>
      <c r="E3" s="124" t="s">
        <v>188</v>
      </c>
      <c r="F3" s="30"/>
      <c r="G3" s="30"/>
      <c r="L3" s="33" t="str">
        <f t="shared" si="0"/>
        <v>ТР</v>
      </c>
    </row>
    <row r="4" spans="1:12" ht="18.75" customHeight="1">
      <c r="A4" s="46" t="s">
        <v>189</v>
      </c>
      <c r="B4" s="131" t="s">
        <v>187</v>
      </c>
      <c r="C4" s="43">
        <v>1</v>
      </c>
      <c r="D4" s="48">
        <v>2195</v>
      </c>
      <c r="E4" s="46" t="s">
        <v>190</v>
      </c>
      <c r="F4" s="47"/>
      <c r="G4" s="30"/>
      <c r="L4" s="33" t="str">
        <f t="shared" si="0"/>
        <v>ТР</v>
      </c>
    </row>
    <row r="5" spans="1:12" ht="18.75" customHeight="1">
      <c r="A5" s="46" t="s">
        <v>191</v>
      </c>
      <c r="B5" s="132" t="s">
        <v>187</v>
      </c>
      <c r="C5" s="43">
        <v>1</v>
      </c>
      <c r="D5" s="48">
        <v>46500</v>
      </c>
      <c r="E5" s="46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133" t="s">
        <v>192</v>
      </c>
      <c r="B6" s="134" t="s">
        <v>187</v>
      </c>
      <c r="C6" s="135">
        <v>1</v>
      </c>
      <c r="D6" s="136">
        <v>7209</v>
      </c>
      <c r="E6" s="137" t="s">
        <v>193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178</v>
      </c>
      <c r="G13" s="116">
        <v>5400</v>
      </c>
      <c r="L13" s="33">
        <f t="shared" si="0"/>
        <v>0</v>
      </c>
    </row>
    <row r="14" spans="1:12" ht="15.75">
      <c r="A14" s="30"/>
      <c r="F14" s="125" t="s">
        <v>179</v>
      </c>
      <c r="G14" s="126">
        <v>170000</v>
      </c>
      <c r="L14" s="33">
        <f t="shared" si="0"/>
        <v>0</v>
      </c>
    </row>
    <row r="15" spans="1:12" ht="15.75">
      <c r="A15" s="30"/>
      <c r="F15" s="138" t="s">
        <v>196</v>
      </c>
      <c r="G15" s="139">
        <v>40000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25248.720000000001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25248.720000000001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195</v>
      </c>
      <c r="B40" s="38">
        <v>66096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66096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29082.240000000002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29082.240000000002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15863.04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15863.04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6609.6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6609.6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28685.64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28685.64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PUdJ2DVsbJ4OtGWBIjYR9KvgBAvU506GnUBTjVyZIVdOZepBpuRjR+olzCuqW/bZ8N5oxMpZoAo0ojoAxF18Og==" saltValue="aOOno2v4mnuOAlsuSpayW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D85" sqref="D85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1101.5999999999999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75549.950000000012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247574.08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108773.90999999999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72044.639999999985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66755.53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239701.01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239701.01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239701.01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83423.020000000019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1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1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1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1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0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0"/>
      <c r="N26" s="65"/>
    </row>
    <row r="27" spans="1:15" ht="18.75" customHeight="1">
      <c r="A27" s="72" t="s">
        <v>104</v>
      </c>
      <c r="B27" s="77" t="s">
        <v>4</v>
      </c>
      <c r="C27" s="88">
        <v>41024.1</v>
      </c>
      <c r="D27" s="83" t="s">
        <v>60</v>
      </c>
      <c r="E27" s="66"/>
      <c r="F27" s="66"/>
      <c r="G27" s="66"/>
      <c r="H27" s="66"/>
      <c r="I27" s="66"/>
      <c r="J27" s="66"/>
      <c r="M27" s="170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0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0"/>
      <c r="N29" s="65"/>
    </row>
    <row r="30" spans="1:15" ht="18.75" customHeight="1">
      <c r="A30" s="72" t="s">
        <v>107</v>
      </c>
      <c r="B30" s="77" t="s">
        <v>18</v>
      </c>
      <c r="C30" s="88">
        <v>9189.71000000001</v>
      </c>
      <c r="D30" s="83" t="s">
        <v>66</v>
      </c>
      <c r="E30" s="66"/>
      <c r="F30" s="66"/>
      <c r="G30" s="66"/>
      <c r="H30" s="66"/>
      <c r="I30" s="66"/>
      <c r="J30" s="66"/>
      <c r="M30" s="170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0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0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0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0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21439.460000000003</v>
      </c>
      <c r="F37" s="96" t="s">
        <v>166</v>
      </c>
      <c r="G37" s="68"/>
      <c r="H37" s="68"/>
      <c r="I37" s="68"/>
      <c r="L37" s="65"/>
      <c r="M37" s="169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18806.543859649126</v>
      </c>
      <c r="D38" s="96" t="s">
        <v>164</v>
      </c>
      <c r="E38" s="70"/>
      <c r="G38" s="69"/>
      <c r="H38" s="69"/>
      <c r="L38" s="65"/>
      <c r="M38" s="169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34826.19</v>
      </c>
      <c r="D39" s="96" t="s">
        <v>165</v>
      </c>
      <c r="E39" s="70"/>
      <c r="G39" s="69"/>
      <c r="H39" s="69"/>
      <c r="L39" s="65"/>
      <c r="M39" s="169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69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21439.460000000003</v>
      </c>
      <c r="D41" s="82" t="s">
        <v>59</v>
      </c>
      <c r="E41" s="70"/>
      <c r="G41" s="69"/>
      <c r="H41" s="69"/>
      <c r="L41" s="65"/>
      <c r="M41" s="169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21439.460000000003</v>
      </c>
      <c r="D42" s="82" t="s">
        <v>59</v>
      </c>
      <c r="E42" s="70"/>
      <c r="G42" s="69"/>
      <c r="H42" s="69"/>
      <c r="L42" s="65"/>
      <c r="M42" s="169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9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9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3222.3899999999994</v>
      </c>
      <c r="F45" s="96" t="s">
        <v>166</v>
      </c>
      <c r="G45" s="68"/>
      <c r="H45" s="68"/>
      <c r="L45" s="65"/>
      <c r="M45" s="169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238.16629711751659</v>
      </c>
      <c r="D46" s="96" t="s">
        <v>167</v>
      </c>
      <c r="E46" s="70"/>
      <c r="G46" s="69"/>
      <c r="H46" s="69"/>
      <c r="L46" s="65"/>
      <c r="M46" s="169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10033.639999999998</v>
      </c>
      <c r="D47" s="96" t="s">
        <v>165</v>
      </c>
      <c r="E47" s="70"/>
      <c r="G47" s="69"/>
      <c r="H47" s="69"/>
      <c r="L47" s="65"/>
      <c r="M47" s="169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69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3222.3899999999994</v>
      </c>
      <c r="D49" s="82" t="s">
        <v>59</v>
      </c>
      <c r="E49" s="70"/>
      <c r="G49" s="69"/>
      <c r="H49" s="69"/>
      <c r="L49" s="65"/>
      <c r="M49" s="169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3222.3899999999994</v>
      </c>
      <c r="D50" s="82" t="s">
        <v>59</v>
      </c>
      <c r="E50" s="70"/>
      <c r="G50" s="69"/>
      <c r="H50" s="69"/>
      <c r="L50" s="65"/>
      <c r="M50" s="169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9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9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3570.9300000000007</v>
      </c>
      <c r="F53" s="96" t="s">
        <v>166</v>
      </c>
      <c r="G53" s="68"/>
      <c r="H53" s="68"/>
      <c r="L53" s="65"/>
      <c r="M53" s="169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231.42773817239149</v>
      </c>
      <c r="D54" s="96" t="s">
        <v>167</v>
      </c>
      <c r="E54" s="71"/>
      <c r="F54" s="91"/>
      <c r="G54" s="66"/>
      <c r="H54" s="66"/>
      <c r="L54" s="65"/>
      <c r="M54" s="169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11068.08</v>
      </c>
      <c r="D55" s="96" t="s">
        <v>165</v>
      </c>
      <c r="E55" s="71"/>
      <c r="G55" s="66"/>
      <c r="H55" s="66"/>
      <c r="L55" s="65"/>
      <c r="M55" s="169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69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3570.9300000000007</v>
      </c>
      <c r="D57" s="82" t="s">
        <v>59</v>
      </c>
      <c r="E57" s="71"/>
      <c r="G57" s="66"/>
      <c r="H57" s="66"/>
      <c r="L57" s="65"/>
      <c r="M57" s="169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3570.9300000000007</v>
      </c>
      <c r="D58" s="82" t="s">
        <v>59</v>
      </c>
      <c r="E58" s="71"/>
      <c r="G58" s="66"/>
      <c r="H58" s="66"/>
      <c r="L58" s="65"/>
      <c r="M58" s="169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9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9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1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2543.09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2021-03-26T07:39:41Z</dcterms:modified>
</cp:coreProperties>
</file>