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D94" i="1"/>
  <c r="A94" i="1"/>
  <c r="K94" i="1"/>
  <c r="A116" i="1" l="1"/>
  <c r="A111" i="1"/>
  <c r="A120" i="1"/>
  <c r="F110" i="1"/>
  <c r="A113" i="1"/>
  <c r="A117" i="1"/>
  <c r="D118" i="1"/>
  <c r="A121" i="1"/>
  <c r="F118" i="1"/>
  <c r="F134" i="1"/>
  <c r="A100" i="1"/>
  <c r="A123" i="1"/>
  <c r="A141" i="1"/>
  <c r="A99" i="1"/>
  <c r="A95" i="1"/>
  <c r="A118" i="1"/>
  <c r="A119" i="1"/>
  <c r="A125" i="1"/>
  <c r="A137" i="1"/>
  <c r="A122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<sst xmlns="http://schemas.openxmlformats.org/spreadsheetml/2006/main" count="550" uniqueCount="200">
  <si>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</si>
  <si>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</si>
  <si>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</si>
  <si>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</si>
  <si>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</si>
  <si>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</si>
  <si>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</si>
  <si>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</si>
  <si>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</si>
  <si>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</si>
  <si>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</si>
  <si>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</si>
  <si>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</si>
  <si>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</si>
  <si>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</si>
  <si>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</si>
  <si>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</si>
  <si>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</si>
  <si>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</si>
  <si>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</si>
  <si>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</si>
  <si>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</si>
  <si>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</si>
  <si>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</si>
  <si>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</si>
  <si>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</si>
  <si>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</si>
  <si>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</si>
  <si>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</si>
  <si>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</si>
  <si>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</si>
  <si>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</si>
  <si>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</si>
  <si>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</si>
  <si>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</si>
  <si>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</si>
  <si>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</si>
  <si>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</si>
  <si>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</si>
  <si>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</si>
  <si>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</si>
  <si>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</si>
  <si>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</si>
  <si>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</si>
  <si>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</si>
  <si>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</si>
  <si>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</si>
  <si>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</si>
  <si>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</si>
  <si>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</si>
  <si>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</si>
  <si>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</si>
  <si>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</si>
  <si>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</si>
  <si>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</si>
  <si>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</si>
  <si>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</si>
  <si>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</si>
  <si>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</si>
  <si>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</si>
  <si>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</si>
  <si>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</si>
  <si>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</si>
  <si>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</si>
  <si>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</si>
  <si>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</si>
  <si>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</si>
  <si>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</si>
  <si>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</si>
  <si>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</si>
  <si>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</si>
  <si>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</si>
  <si>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</si>
  <si>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</si>
  <si>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</si>
  <si>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</si>
  <si>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</si>
  <si>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</si>
  <si>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</si>
  <si>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</si>
  <si>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</si>
  <si>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</si>
  <si>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</si>
  <si>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</si>
  <si>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</si>
  <si>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</si>
  <si>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</si>
  <si>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</si>
  <si>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</si>
  <si>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</si>
  <si>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</si>
  <si>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</si>
  <si>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</si>
  <si>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</si>
  <si>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</si>
  <si>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</si>
  <si>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</si>
  <si>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</si>
  <si>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</si>
  <si>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</si>
  <si>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</si>
  <si>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</si>
  <si>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</si>
  <si>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</si>
  <si>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</si>
  <si>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</si>
  <si>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</si>
  <si>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</si>
  <si>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</si>
  <si>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</si>
  <si>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</si>
  <si>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</si>
  <si>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</si>
  <si>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</si>
  <si>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</si>
  <si>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</si>
  <si>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</si>
  <si>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</si>
  <si>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</si>
  <si>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</si>
  <si>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</si>
  <si>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</si>
  <si>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</si>
  <si>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</si>
  <si>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</si>
  <si>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</si>
  <si>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</si>
  <si>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</si>
  <si>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</si>
  <si>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</si>
  <si>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</si>
  <si>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</si>
  <si>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</si>
  <si>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</si>
  <si>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</si>
  <si>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</si>
  <si>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</si>
  <si>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</si>
  <si>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</si>
  <si>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</si>
  <si>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</si>
  <si>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</si>
  <si>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</si>
  <si>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</si>
  <si>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</si>
  <si>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</si>
  <si>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</si>
  <si>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</si>
  <si>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</si>
  <si>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</si>
  <si>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</si>
  <si>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</si>
  <si>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</si>
  <si>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</si>
  <si>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</si>
  <si>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</si>
  <si>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</si>
  <si>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</si>
  <si>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</si>
  <si>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</si>
  <si>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</si>
  <si>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</si>
  <si>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</si>
  <si>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</si>
  <si>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</si>
  <si>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</si>
  <si>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</si>
  <si>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</si>
  <si>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</si>
  <si>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</si>
  <si>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</si>
  <si>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</si>
  <si>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</si>
  <si>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</si>
  <si>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</si>
  <si>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91</t>
  </si>
  <si>
    <t>ежемесячно</t>
  </si>
  <si>
    <t>площадь дома</t>
  </si>
  <si>
    <t>Отчет об исполнении договора управления многоквартирного дома 
Березовый, 91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</si>
  <si>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</si>
  <si>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</si>
  <si>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</si>
  <si>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</si>
  <si>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</si>
  <si>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</si>
  <si>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</si>
  <si>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</si>
  <si>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</si>
  <si>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</si>
  <si>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</si>
  <si>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</si>
  <si>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Ремонт подъезда.</t>
  </si>
  <si>
    <t>Аварийный ремонт теплообменника ГВС в ИТП.</t>
  </si>
  <si>
    <t>АВР 4/20 от 04.08.2020</t>
  </si>
  <si>
    <t>Аварийный ремонт теплообменника отопления в ИТП.</t>
  </si>
  <si>
    <t>АВР 3/20 от 04.08.2020</t>
  </si>
  <si>
    <t>АВР 6/20 от 18.09.2020, Решение, калькуляция, счет №16201 от 27.05.2020</t>
  </si>
  <si>
    <t>Замена прибора учета электрической энергии.</t>
  </si>
  <si>
    <t>АВР 5/20 от 10.07.2020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</si>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</sst>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23" fillId="0" borderId="0"/>
    <xf numFmtId="0" fontId="23" fillId="0" borderId="0"/>
    <xf numFmtId="0" fontId="5" fillId="0" borderId="0"/>
    <xf numFmtId="0" fontId="1" fillId="0" borderId="0"/>
  </cellStyleXfs>
  <cellXfs count="177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7" fillId="0" borderId="0" xfId="5" applyFill="1" applyBorder="1" applyAlignment="1">
      <alignment horizontal="center" vertical="center"/>
    </xf>
    <xf numFmtId="4" fontId="7" fillId="0" borderId="0" xfId="5" applyNumberFormat="1" applyBorder="1" applyAlignment="1"/>
    <xf numFmtId="4" fontId="7" fillId="0" borderId="0" xfId="5" applyNumberFormat="1" applyFill="1" applyBorder="1" applyAlignment="1"/>
    <xf numFmtId="0" fontId="7" fillId="0" borderId="0" xfId="5" applyFill="1" applyBorder="1" applyAlignment="1">
      <alignment horizontal="center"/>
    </xf>
    <xf numFmtId="0" fontId="7" fillId="0" borderId="0" xfId="5" applyFill="1" applyBorder="1"/>
    <xf numFmtId="0" fontId="7" fillId="0" borderId="0" xfId="5" applyFill="1" applyBorder="1" applyAlignment="1"/>
    <xf numFmtId="0" fontId="6" fillId="0" borderId="0" xfId="5" applyFont="1" applyFill="1" applyBorder="1" applyAlignment="1"/>
    <xf numFmtId="0" fontId="15" fillId="0" borderId="0" xfId="0" applyFont="1" applyBorder="1" applyAlignment="1"/>
    <xf numFmtId="0" fontId="5" fillId="0" borderId="0" xfId="8" applyFont="1" applyFill="1" applyBorder="1" applyAlignment="1"/>
    <xf numFmtId="0" fontId="5" fillId="0" borderId="0" xfId="8" applyFont="1" applyFill="1" applyBorder="1" applyAlignment="1">
      <alignment horizontal="center"/>
    </xf>
    <xf numFmtId="1" fontId="5" fillId="0" borderId="0" xfId="8" applyNumberFormat="1" applyFill="1" applyBorder="1" applyAlignment="1">
      <alignment horizontal="center"/>
    </xf>
    <xf numFmtId="4" fontId="5" fillId="0" borderId="0" xfId="8" applyNumberFormat="1" applyFill="1" applyBorder="1" applyAlignment="1"/>
    <xf numFmtId="0" fontId="5" fillId="0" borderId="0" xfId="8" applyFont="1" applyFill="1" applyBorder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center"/>
    </xf>
    <xf numFmtId="0" fontId="22" fillId="0" borderId="0" xfId="9" applyFont="1" applyFill="1" applyBorder="1" applyAlignment="1">
      <alignment horizontal="center"/>
    </xf>
    <xf numFmtId="4" fontId="22" fillId="0" borderId="0" xfId="9" applyNumberFormat="1" applyFont="1" applyFill="1" applyBorder="1" applyAlignment="1"/>
    <xf numFmtId="4" fontId="22" fillId="0" borderId="0" xfId="0" applyNumberFormat="1" applyFont="1" applyFill="1" applyBorder="1" applyAlignment="1">
      <alignment horizontal="left"/>
    </xf>
    <xf numFmtId="4" fontId="15" fillId="0" borderId="0" xfId="0" applyNumberFormat="1" applyFont="1" applyBorder="1" applyAlignment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4 2" xfId="9"/>
    <cellStyle name="Обычный 5" xfId="5"/>
    <cellStyle name="Обычный 5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6" sqref="K8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7" t="s">
        <v>175</v>
      </c>
      <c r="B2" s="167"/>
      <c r="C2" s="167"/>
      <c r="D2" s="167"/>
      <c r="E2" s="167"/>
      <c r="F2" s="167"/>
      <c r="G2" s="167"/>
      <c r="H2" s="167"/>
      <c r="I2" s="167"/>
      <c r="J2" s="16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4" t="s">
        <v>2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12"/>
      <c r="L8" s="168"/>
      <c r="M8" s="112"/>
      <c r="N8" s="112"/>
      <c r="O8" s="72" t="s">
        <v>81</v>
      </c>
      <c r="R8" s="16"/>
    </row>
    <row r="9" spans="1:18" ht="18.75" customHeight="1" outlineLevel="1">
      <c r="A9" s="164" t="s">
        <v>3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12"/>
      <c r="L9" s="168"/>
      <c r="M9" s="112"/>
      <c r="N9" s="112"/>
      <c r="O9" s="72" t="s">
        <v>82</v>
      </c>
    </row>
    <row r="10" spans="1:18" ht="18.75" customHeight="1" outlineLevel="1">
      <c r="A10" s="164" t="s">
        <v>4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186405.11</v>
      </c>
      <c r="K10" s="112"/>
      <c r="L10" s="168"/>
      <c r="M10" s="112"/>
      <c r="N10" s="112"/>
      <c r="O10" s="72" t="s">
        <v>83</v>
      </c>
    </row>
    <row r="11" spans="1:18" outlineLevel="1">
      <c r="A11" s="164" t="s">
        <v>5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228973.29</v>
      </c>
      <c r="K11" s="112"/>
      <c r="L11" s="168"/>
      <c r="M11" s="112"/>
      <c r="N11" s="112"/>
      <c r="O11" s="72" t="s">
        <v>84</v>
      </c>
    </row>
    <row r="12" spans="1:18" ht="18.75" customHeight="1" outlineLevel="1">
      <c r="A12" s="164" t="s">
        <v>6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154521.93</v>
      </c>
      <c r="K12" s="112"/>
      <c r="L12" s="168"/>
      <c r="M12" s="112"/>
      <c r="N12" s="112"/>
      <c r="O12" s="72" t="s">
        <v>85</v>
      </c>
    </row>
    <row r="13" spans="1:18" ht="18.75" customHeight="1" outlineLevel="1">
      <c r="A13" s="164" t="s">
        <v>7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74451.360000000015</v>
      </c>
      <c r="K13" s="112"/>
      <c r="L13" s="168"/>
      <c r="M13" s="112"/>
      <c r="N13" s="112"/>
      <c r="O13" s="72" t="s">
        <v>86</v>
      </c>
    </row>
    <row r="14" spans="1:18" ht="18.75" customHeight="1" outlineLevel="1">
      <c r="A14" s="164" t="s">
        <v>8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12"/>
      <c r="L14" s="168"/>
      <c r="M14" s="112"/>
      <c r="N14" s="112"/>
      <c r="O14" s="72" t="s">
        <v>87</v>
      </c>
    </row>
    <row r="15" spans="1:18" ht="18.75" customHeight="1" outlineLevel="1">
      <c r="A15" s="164" t="s">
        <v>9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257666.25000000009</v>
      </c>
      <c r="K15" s="112"/>
      <c r="L15" s="168"/>
      <c r="M15" s="112"/>
      <c r="N15" s="112"/>
      <c r="O15" s="72" t="s">
        <v>88</v>
      </c>
    </row>
    <row r="16" spans="1:18" ht="18.75" customHeight="1" outlineLevel="1">
      <c r="A16" s="164" t="s">
        <v>10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257666.25000000009</v>
      </c>
      <c r="K16" s="112"/>
      <c r="L16" s="168"/>
      <c r="M16" s="112"/>
      <c r="N16" s="112"/>
      <c r="O16" s="72" t="s">
        <v>89</v>
      </c>
    </row>
    <row r="17" spans="1:23" ht="18.75" customHeight="1" outlineLevel="1">
      <c r="A17" s="164" t="s">
        <v>11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12"/>
      <c r="L17" s="168"/>
      <c r="M17" s="112"/>
      <c r="N17" s="112"/>
      <c r="O17" s="72" t="s">
        <v>90</v>
      </c>
    </row>
    <row r="18" spans="1:23" ht="18.75" customHeight="1" outlineLevel="1">
      <c r="A18" s="164" t="s">
        <v>12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12"/>
      <c r="L18" s="168"/>
      <c r="M18" s="112"/>
      <c r="N18" s="112"/>
      <c r="O18" s="72" t="s">
        <v>91</v>
      </c>
    </row>
    <row r="19" spans="1:23" ht="18.75" customHeight="1" outlineLevel="1">
      <c r="A19" s="164" t="s">
        <v>13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12"/>
      <c r="L19" s="168"/>
      <c r="M19" s="112"/>
      <c r="N19" s="112"/>
      <c r="O19" s="72" t="s">
        <v>92</v>
      </c>
    </row>
    <row r="20" spans="1:23" ht="18.75" customHeight="1" outlineLevel="1">
      <c r="A20" s="164" t="s">
        <v>14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12"/>
      <c r="L20" s="168"/>
      <c r="M20" s="112"/>
      <c r="N20" s="112"/>
      <c r="O20" s="72" t="s">
        <v>93</v>
      </c>
    </row>
    <row r="21" spans="1:23" ht="18.75" customHeight="1" outlineLevel="1">
      <c r="A21" s="164" t="s">
        <v>15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257666.25000000009</v>
      </c>
      <c r="K21" s="112"/>
      <c r="L21" s="168"/>
      <c r="M21" s="112"/>
      <c r="N21" s="112"/>
      <c r="O21" s="72" t="s">
        <v>94</v>
      </c>
    </row>
    <row r="22" spans="1:23" ht="18.75" customHeight="1" outlineLevel="1">
      <c r="A22" s="164" t="s">
        <v>16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12"/>
      <c r="L22" s="168"/>
      <c r="M22" s="112"/>
      <c r="N22" s="112"/>
      <c r="O22" s="72" t="s">
        <v>95</v>
      </c>
    </row>
    <row r="23" spans="1:23" ht="18.75" customHeight="1" outlineLevel="1">
      <c r="A23" s="164" t="s">
        <v>17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12"/>
      <c r="L23" s="168"/>
      <c r="M23" s="112"/>
      <c r="N23" s="112"/>
      <c r="O23" s="72" t="s">
        <v>96</v>
      </c>
    </row>
    <row r="24" spans="1:23" ht="18.75" customHeight="1" outlineLevel="1">
      <c r="A24" s="164" t="s">
        <v>18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157712.14999999994</v>
      </c>
      <c r="K24" s="112"/>
      <c r="L24" s="168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2"/>
      <c r="L27" s="16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46">
        <f>VLOOKUP(A28,ПТО!$A$39:$D$53,2,FALSE)</f>
        <v>34698.480000000003</v>
      </c>
      <c r="G28" s="146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12"/>
      <c r="L28" s="16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5"/>
      <c r="C29" s="145"/>
      <c r="D29" s="145"/>
      <c r="E29" s="145"/>
      <c r="F29" s="146">
        <f>VLOOKUP(A29,ПТО!$A$39:$D$53,2,FALSE)</f>
        <v>34152</v>
      </c>
      <c r="G29" s="146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12"/>
      <c r="L29" s="169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46">
        <f>VLOOKUP(A30,ПТО!$A$39:$D$53,2,FALSE)</f>
        <v>29097.48</v>
      </c>
      <c r="G30" s="146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12"/>
      <c r="L30" s="169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46">
        <f>VLOOKUP(A31,ПТО!$A$39:$D$53,2,FALSE)</f>
        <v>16392.96</v>
      </c>
      <c r="G31" s="146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12"/>
      <c r="L31" s="16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12"/>
      <c r="L32" s="169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46">
        <f>VLOOKUP(A33,ПТО!$A$39:$D$53,2,FALSE)</f>
        <v>6966.96</v>
      </c>
      <c r="G33" s="146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12"/>
      <c r="L33" s="16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46">
        <f>VLOOKUP(A34,ПТО!$A$39:$D$53,2,FALSE)</f>
        <v>28687.68</v>
      </c>
      <c r="G34" s="146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12"/>
      <c r="L34" s="16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5">
        <f>ПТО!A46</f>
        <v>0</v>
      </c>
      <c r="B35" s="145"/>
      <c r="C35" s="145"/>
      <c r="D35" s="145"/>
      <c r="E35" s="145"/>
      <c r="F35" s="146" t="e">
        <f>VLOOKUP(A35,ПТО!$A$39:$D$53,2,FALSE)</f>
        <v>#N/A</v>
      </c>
      <c r="G35" s="146"/>
      <c r="H35" s="42" t="e">
        <f>VLOOKUP(A35,ПТО!$A$39:$D$53,3,FALSE)</f>
        <v>#N/A</v>
      </c>
      <c r="I35" s="147" t="e">
        <f>VLOOKUP(A35,ПТО!$A$39:$D$53,4,FALSE)</f>
        <v>#N/A</v>
      </c>
      <c r="J35" s="147"/>
      <c r="K35" s="112"/>
      <c r="L35" s="169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7" t="e">
        <f>VLOOKUP(A36,ПТО!$A$39:$D$53,4,FALSE)</f>
        <v>#N/A</v>
      </c>
      <c r="J36" s="147"/>
      <c r="K36" s="112"/>
      <c r="L36" s="169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12"/>
      <c r="L37" s="169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12"/>
      <c r="L38" s="169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12"/>
      <c r="L39" s="169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12"/>
      <c r="L40" s="169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12"/>
      <c r="L41" s="169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12"/>
      <c r="L42" s="169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5" t="str">
        <f>ПТО!A2</f>
        <v>Техническое обслуживание охранной сигнализации.</v>
      </c>
      <c r="B43" s="145"/>
      <c r="C43" s="145"/>
      <c r="D43" s="145"/>
      <c r="E43" s="145"/>
      <c r="F43" s="146">
        <f>VLOOKUP(A43,ПТО!$A$2:$D$31,4,FALSE)</f>
        <v>5428.0800000000008</v>
      </c>
      <c r="G43" s="146"/>
      <c r="H43" s="19" t="str">
        <f>VLOOKUP(A43,ПТО!$A$2:$D$31,2,FALSE)</f>
        <v>ежемесячно</v>
      </c>
      <c r="I43" s="147">
        <f>VLOOKUP(A43,ПТО!$A$2:$D$31,3,FALSE)</f>
        <v>12</v>
      </c>
      <c r="J43" s="147"/>
      <c r="K43" s="112"/>
      <c r="L43" s="169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5" t="str">
        <f>ПТО!A3</f>
        <v>Приобретение и установка ОДПУ ХВС.</v>
      </c>
      <c r="B44" s="145"/>
      <c r="C44" s="145"/>
      <c r="D44" s="145"/>
      <c r="E44" s="145"/>
      <c r="F44" s="146">
        <f>VLOOKUP(A44,ПТО!$A$2:$D$31,4,FALSE)</f>
        <v>2035.72</v>
      </c>
      <c r="G44" s="146"/>
      <c r="H44" s="25" t="str">
        <f>VLOOKUP(A44,ПТО!$A$2:$D$31,2,FALSE)</f>
        <v>разово</v>
      </c>
      <c r="I44" s="147">
        <f>VLOOKUP(A44,ПТО!$A$2:$D$31,3,FALSE)</f>
        <v>1</v>
      </c>
      <c r="J44" s="147"/>
      <c r="K44" s="112"/>
      <c r="L44" s="169"/>
      <c r="M44" s="119"/>
      <c r="N44" s="112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45" t="str">
        <f>ПТО!A4</f>
        <v>Приобретение и установка таблички по пожарной безопасности.</v>
      </c>
      <c r="B45" s="145"/>
      <c r="C45" s="145"/>
      <c r="D45" s="145"/>
      <c r="E45" s="145"/>
      <c r="F45" s="146">
        <f>VLOOKUP(A45,ПТО!$A$2:$D$31,4,FALSE)</f>
        <v>250</v>
      </c>
      <c r="G45" s="146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12"/>
      <c r="L45" s="169"/>
      <c r="M45" s="119"/>
      <c r="N45" s="112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5" t="str">
        <f>ПТО!A5</f>
        <v>Аварийный ремонт теплообменника отопления в ИТП.</v>
      </c>
      <c r="B46" s="145"/>
      <c r="C46" s="145"/>
      <c r="D46" s="145"/>
      <c r="E46" s="145"/>
      <c r="F46" s="146">
        <f>VLOOKUP(A46,ПТО!$A$2:$D$31,4,FALSE)</f>
        <v>23530</v>
      </c>
      <c r="G46" s="146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12"/>
      <c r="L46" s="169"/>
      <c r="M46" s="119"/>
      <c r="N46" s="112"/>
      <c r="O46" s="23" t="str">
        <f t="shared" si="1"/>
        <v>Аварийный ремонт теплообменника отопления в ИТП.</v>
      </c>
      <c r="R46" s="22" t="s">
        <v>72</v>
      </c>
    </row>
    <row r="47" spans="1:18" ht="51" customHeight="1" outlineLevel="1">
      <c r="A47" s="145" t="str">
        <f>ПТО!A6</f>
        <v>Аварийный ремонт теплообменника ГВС в ИТП.</v>
      </c>
      <c r="B47" s="145"/>
      <c r="C47" s="145"/>
      <c r="D47" s="145"/>
      <c r="E47" s="145"/>
      <c r="F47" s="146">
        <f>VLOOKUP(A47,ПТО!$A$2:$D$31,4,FALSE)</f>
        <v>18497.25</v>
      </c>
      <c r="G47" s="146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12"/>
      <c r="L47" s="169"/>
      <c r="M47" s="119"/>
      <c r="N47" s="112"/>
      <c r="O47" s="23" t="str">
        <f t="shared" si="1"/>
        <v>Аварийный ремонт теплообменника ГВС в ИТП.</v>
      </c>
      <c r="R47" s="22" t="s">
        <v>72</v>
      </c>
    </row>
    <row r="48" spans="1:18" ht="51" customHeight="1" outlineLevel="1">
      <c r="A48" s="145" t="str">
        <f>ПТО!A7</f>
        <v>Замена прибора учета электрической энергии.</v>
      </c>
      <c r="B48" s="145"/>
      <c r="C48" s="145"/>
      <c r="D48" s="145"/>
      <c r="E48" s="145"/>
      <c r="F48" s="146">
        <f>VLOOKUP(A48,ПТО!$A$2:$D$31,4,FALSE)</f>
        <v>7209</v>
      </c>
      <c r="G48" s="146"/>
      <c r="H48" s="25" t="str">
        <f>VLOOKUP(A48,ПТО!$A$2:$D$31,2,FALSE)</f>
        <v>разово</v>
      </c>
      <c r="I48" s="147">
        <f>VLOOKUP(A48,ПТО!$A$2:$D$31,3,FALSE)</f>
        <v>1</v>
      </c>
      <c r="J48" s="147"/>
      <c r="K48" s="112"/>
      <c r="L48" s="169"/>
      <c r="M48" s="119"/>
      <c r="N48" s="112"/>
      <c r="O48" s="23" t="str">
        <f t="shared" si="1"/>
        <v>Замена прибора учета электрической энергии.</v>
      </c>
      <c r="R48" s="22" t="s">
        <v>72</v>
      </c>
    </row>
    <row r="49" spans="1:18" ht="51" customHeight="1" outlineLevel="1">
      <c r="A49" s="145" t="str">
        <f>ПТО!A8</f>
        <v>Ремонт подъезда.</v>
      </c>
      <c r="B49" s="145"/>
      <c r="C49" s="145"/>
      <c r="D49" s="145"/>
      <c r="E49" s="145"/>
      <c r="F49" s="146">
        <f>VLOOKUP(A49,ПТО!$A$2:$D$31,4,FALSE)</f>
        <v>166150</v>
      </c>
      <c r="G49" s="146"/>
      <c r="H49" s="25" t="str">
        <f>VLOOKUP(A49,ПТО!$A$2:$D$31,2,FALSE)</f>
        <v>разово</v>
      </c>
      <c r="I49" s="147">
        <f>VLOOKUP(A49,ПТО!$A$2:$D$31,3,FALSE)</f>
        <v>1</v>
      </c>
      <c r="J49" s="147"/>
      <c r="K49" s="112"/>
      <c r="L49" s="169"/>
      <c r="M49" s="119"/>
      <c r="N49" s="112"/>
      <c r="O49" s="23" t="str">
        <f t="shared" si="1"/>
        <v>Ремонт подъезда.</v>
      </c>
      <c r="R49" s="22" t="s">
        <v>72</v>
      </c>
    </row>
    <row r="50" spans="1:18" ht="51" hidden="1" customHeight="1" outlineLevel="1">
      <c r="A50" s="145">
        <f>ПТО!A9</f>
        <v>0</v>
      </c>
      <c r="B50" s="145"/>
      <c r="C50" s="145"/>
      <c r="D50" s="145"/>
      <c r="E50" s="145"/>
      <c r="F50" s="146" t="e">
        <f>VLOOKUP(A50,ПТО!$A$2:$D$31,4,FALSE)</f>
        <v>#N/A</v>
      </c>
      <c r="G50" s="146"/>
      <c r="H50" s="25" t="e">
        <f>VLOOKUP(A50,ПТО!$A$2:$D$31,2,FALSE)</f>
        <v>#N/A</v>
      </c>
      <c r="I50" s="147" t="e">
        <f>VLOOKUP(A50,ПТО!$A$2:$D$31,3,FALSE)</f>
        <v>#N/A</v>
      </c>
      <c r="J50" s="147"/>
      <c r="K50" s="112"/>
      <c r="L50" s="169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5">
        <f>ПТО!A10</f>
        <v>0</v>
      </c>
      <c r="B51" s="145"/>
      <c r="C51" s="145"/>
      <c r="D51" s="145"/>
      <c r="E51" s="145"/>
      <c r="F51" s="146" t="e">
        <f>VLOOKUP(A51,ПТО!$A$2:$D$31,4,FALSE)</f>
        <v>#N/A</v>
      </c>
      <c r="G51" s="146"/>
      <c r="H51" s="25" t="e">
        <f>VLOOKUP(A51,ПТО!$A$2:$D$31,2,FALSE)</f>
        <v>#N/A</v>
      </c>
      <c r="I51" s="147" t="e">
        <f>VLOOKUP(A51,ПТО!$A$2:$D$31,3,FALSE)</f>
        <v>#N/A</v>
      </c>
      <c r="J51" s="147"/>
      <c r="K51" s="112"/>
      <c r="L51" s="169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7" t="e">
        <f>VLOOKUP(A52,ПТО!$A$2:$D$31,3,FALSE)</f>
        <v>#N/A</v>
      </c>
      <c r="J52" s="147"/>
      <c r="K52" s="112"/>
      <c r="L52" s="169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12"/>
      <c r="L53" s="169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12"/>
      <c r="L54" s="169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12"/>
      <c r="L55" s="169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12"/>
      <c r="L56" s="169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12"/>
      <c r="L57" s="169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12"/>
      <c r="L58" s="169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12"/>
      <c r="L59" s="169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12"/>
      <c r="L60" s="169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12"/>
      <c r="L61" s="169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12"/>
      <c r="L62" s="169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12"/>
      <c r="L63" s="169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12"/>
      <c r="L64" s="169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12"/>
      <c r="L65" s="169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12"/>
      <c r="L66" s="169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12"/>
      <c r="L67" s="169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12"/>
      <c r="L68" s="169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12"/>
      <c r="L69" s="169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12"/>
      <c r="L70" s="169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9"/>
      <c r="L71" s="169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12"/>
      <c r="L72" s="169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12"/>
      <c r="L75" s="152"/>
      <c r="M75" s="112"/>
      <c r="N75" s="112"/>
      <c r="O75" s="72" t="s">
        <v>98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12"/>
      <c r="L76" s="152"/>
      <c r="M76" s="112"/>
      <c r="N76" s="112"/>
      <c r="O76" s="72" t="s">
        <v>99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12"/>
      <c r="L77" s="152"/>
      <c r="M77" s="112"/>
      <c r="N77" s="112"/>
      <c r="O77" s="72" t="s">
        <v>100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9">
        <f>VLOOKUP(O78,АО,3,FALSE)</f>
        <v>0</v>
      </c>
      <c r="K78" s="112"/>
      <c r="L78" s="152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3" t="s">
        <v>2</v>
      </c>
      <c r="B81" s="153"/>
      <c r="C81" s="153"/>
      <c r="D81" s="153"/>
      <c r="E81" s="153"/>
      <c r="F81" s="153"/>
      <c r="G81" s="153"/>
      <c r="H81" s="153"/>
      <c r="I81" s="153"/>
      <c r="J81" s="99">
        <f t="shared" ref="J81:J90" si="2">VLOOKUP(O81,АО,3,FALSE)</f>
        <v>0</v>
      </c>
      <c r="K81" s="112"/>
      <c r="L81" s="170"/>
      <c r="M81" s="112"/>
      <c r="N81" s="112"/>
      <c r="O81" s="72" t="s">
        <v>102</v>
      </c>
    </row>
    <row r="82" spans="1:15" outlineLevel="1">
      <c r="A82" s="153" t="s">
        <v>3</v>
      </c>
      <c r="B82" s="153"/>
      <c r="C82" s="153"/>
      <c r="D82" s="153"/>
      <c r="E82" s="153"/>
      <c r="F82" s="153"/>
      <c r="G82" s="153"/>
      <c r="H82" s="153"/>
      <c r="I82" s="153"/>
      <c r="J82" s="99">
        <f t="shared" si="2"/>
        <v>0</v>
      </c>
      <c r="K82" s="112"/>
      <c r="L82" s="170"/>
      <c r="M82" s="112"/>
      <c r="N82" s="112"/>
      <c r="O82" s="72" t="s">
        <v>103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9">
        <f t="shared" si="2"/>
        <v>154462.74</v>
      </c>
      <c r="K83" s="112"/>
      <c r="L83" s="170"/>
      <c r="M83" s="112"/>
      <c r="N83" s="112"/>
      <c r="O83" s="72" t="s">
        <v>104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9">
        <f t="shared" si="2"/>
        <v>0</v>
      </c>
      <c r="K84" s="112"/>
      <c r="L84" s="170"/>
      <c r="M84" s="112"/>
      <c r="N84" s="112"/>
      <c r="O84" s="72" t="s">
        <v>105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9">
        <f t="shared" si="2"/>
        <v>0</v>
      </c>
      <c r="K85" s="112"/>
      <c r="L85" s="170"/>
      <c r="M85" s="112"/>
      <c r="N85" s="112"/>
      <c r="O85" s="72" t="s">
        <v>106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9">
        <f t="shared" si="2"/>
        <v>112910.78</v>
      </c>
      <c r="K86" s="112"/>
      <c r="L86" s="170"/>
      <c r="M86" s="112"/>
      <c r="N86" s="112"/>
      <c r="O86" s="72" t="s">
        <v>107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2"/>
      <c r="L87" s="170"/>
      <c r="M87" s="112"/>
      <c r="N87" s="112"/>
      <c r="O87" s="72" t="s">
        <v>108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2"/>
      <c r="L88" s="170"/>
      <c r="M88" s="112"/>
      <c r="N88" s="112"/>
      <c r="O88" s="72" t="s">
        <v>109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2"/>
      <c r="L89" s="170"/>
      <c r="M89" s="112"/>
      <c r="N89" s="112"/>
      <c r="O89" s="72" t="s">
        <v>110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9">
        <f t="shared" si="2"/>
        <v>0</v>
      </c>
      <c r="K90" s="112"/>
      <c r="L90" s="170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4" t="s">
        <v>48</v>
      </c>
      <c r="B93" s="154"/>
      <c r="C93" s="154"/>
      <c r="D93" s="157" t="s">
        <v>49</v>
      </c>
      <c r="E93" s="157"/>
      <c r="F93" s="10" t="s">
        <v>50</v>
      </c>
      <c r="G93" s="154" t="s">
        <v>51</v>
      </c>
      <c r="H93" s="154"/>
      <c r="I93" s="154"/>
      <c r="J93" s="154"/>
      <c r="K93" s="112"/>
      <c r="L93" s="112"/>
      <c r="M93" s="112"/>
      <c r="N93" s="112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5">
        <f>VLOOKUP("эл",АО,5,FALSE)</f>
        <v>94005.060000000041</v>
      </c>
      <c r="H94" s="156"/>
      <c r="I94" s="156"/>
      <c r="J94" s="156"/>
      <c r="K94" s="1" t="str">
        <f>VLOOKUP("эл",АО,2,FALSE)</f>
        <v>Электроснабжение</v>
      </c>
      <c r="L94" s="171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82460.578947368471</v>
      </c>
      <c r="L95" s="171"/>
      <c r="O95" s="1" t="s">
        <v>112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110801.61</v>
      </c>
      <c r="L96" s="171"/>
      <c r="O96" s="1" t="s">
        <v>113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0</v>
      </c>
      <c r="L97" s="171"/>
      <c r="O97" s="1" t="s">
        <v>114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94005.060000000041</v>
      </c>
      <c r="L98" s="171"/>
      <c r="O98" s="1" t="s">
        <v>115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94005.060000000041</v>
      </c>
      <c r="L99" s="171"/>
      <c r="O99" s="1" t="s">
        <v>116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71"/>
      <c r="O100" s="1" t="s">
        <v>117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71"/>
      <c r="O101" s="1" t="s">
        <v>118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5">
        <f>VLOOKUP("хвс",АО,5,FALSE)</f>
        <v>63854.44</v>
      </c>
      <c r="H102" s="156"/>
      <c r="I102" s="156"/>
      <c r="J102" s="156"/>
      <c r="L102" s="171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4719.4708056171476</v>
      </c>
      <c r="L103" s="171"/>
      <c r="O103" s="1" t="s">
        <v>121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73341.390000000014</v>
      </c>
      <c r="L104" s="171"/>
      <c r="O104" s="1" t="s">
        <v>122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0</v>
      </c>
      <c r="L105" s="171"/>
      <c r="O105" s="1" t="s">
        <v>123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63854.44</v>
      </c>
      <c r="L106" s="171"/>
      <c r="O106" s="1" t="s">
        <v>124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63854.44</v>
      </c>
      <c r="L107" s="171"/>
      <c r="O107" s="1" t="s">
        <v>125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71"/>
      <c r="O108" s="1" t="s">
        <v>126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71"/>
      <c r="O109" s="1" t="s">
        <v>127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5">
        <f>VLOOKUP("воо",АО,5,FALSE)</f>
        <v>73628.14</v>
      </c>
      <c r="H110" s="156"/>
      <c r="I110" s="156"/>
      <c r="J110" s="156"/>
      <c r="L110" s="171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4771.7524303305254</v>
      </c>
      <c r="L111" s="171"/>
      <c r="O111" s="1" t="s">
        <v>129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81496.359999999986</v>
      </c>
      <c r="L112" s="171"/>
      <c r="O112" s="1" t="s">
        <v>130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0</v>
      </c>
      <c r="L113" s="171"/>
      <c r="O113" s="1" t="s">
        <v>131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73628.14</v>
      </c>
      <c r="L114" s="171"/>
      <c r="O114" s="1" t="s">
        <v>132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73628.14</v>
      </c>
      <c r="L115" s="171"/>
      <c r="O115" s="1" t="s">
        <v>133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71"/>
      <c r="O116" s="1" t="s">
        <v>134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71"/>
      <c r="O117" s="1" t="s">
        <v>135</v>
      </c>
    </row>
    <row r="118" spans="1:15" ht="32.25" hidden="1" customHeight="1" outlineLevel="1">
      <c r="A118" s="158">
        <f>IF(VLOOKUP("тко",АО,3,FALSE)&gt;0,"Обращение с ТКО",0)</f>
        <v>0</v>
      </c>
      <c r="B118" s="158"/>
      <c r="C118" s="158"/>
      <c r="D118" s="156">
        <f>IF(VLOOKUP("тко",АО,3,FALSE)&gt;0,VLOOKUP("тко",АО,3,FALSE),0)</f>
        <v>0</v>
      </c>
      <c r="E118" s="156"/>
      <c r="F118" s="13">
        <f>IF(VLOOKUP("тко",АО,3,FALSE)&gt;0,VLOOKUP("тко",АО,4,FALSE),0)</f>
        <v>0</v>
      </c>
      <c r="G118" s="155">
        <f>VLOOKUP("тко",АО,5,FALSE)</f>
        <v>0</v>
      </c>
      <c r="H118" s="156"/>
      <c r="I118" s="156"/>
      <c r="J118" s="156"/>
      <c r="L118" s="49"/>
    </row>
    <row r="119" spans="1:15" ht="32.25" hidden="1" customHeight="1" outlineLevel="2">
      <c r="A119" s="153">
        <f t="shared" ref="A119:A125" si="8">IF(VLOOKUP("тко",АО,3,FALSE)&gt;0,VLOOKUP(O119,АО,2,FALSE),0)</f>
        <v>0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53">
        <f t="shared" si="8"/>
        <v>0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3074.6600000000003</v>
      </c>
      <c r="L120" s="49"/>
      <c r="O120" s="1" t="s">
        <v>138</v>
      </c>
    </row>
    <row r="121" spans="1:15" ht="32.25" hidden="1" customHeight="1" outlineLevel="2">
      <c r="A121" s="153">
        <f t="shared" si="8"/>
        <v>0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53">
        <f t="shared" si="8"/>
        <v>0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53">
        <f t="shared" si="8"/>
        <v>0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53">
        <f t="shared" si="8"/>
        <v>0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53">
        <f t="shared" si="8"/>
        <v>0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8">
        <f>IF(VLOOKUP("гвс",АО,3,FALSE)&gt;0,"Горячее водоснабжение",0)</f>
        <v>0</v>
      </c>
      <c r="B126" s="158"/>
      <c r="C126" s="158"/>
      <c r="D126" s="156">
        <f>IF(VLOOKUP("гвс",АО,3,FALSE)&gt;0,VLOOKUP("гвс",АО,3,FALSE),0)</f>
        <v>0</v>
      </c>
      <c r="E126" s="156"/>
      <c r="F126" s="13">
        <f>IF(VLOOKUP("гвс",АО,3,FALSE)&gt;0,VLOOKUP("гвс",АО,4,FALSE),0)</f>
        <v>0</v>
      </c>
      <c r="G126" s="155">
        <f>VLOOKUP("гвс",АО,5,FALSE)</f>
        <v>0</v>
      </c>
      <c r="H126" s="156"/>
      <c r="I126" s="156"/>
      <c r="J126" s="156"/>
      <c r="L126" s="49"/>
    </row>
    <row r="127" spans="1:15" ht="32.25" hidden="1" customHeight="1" outlineLevel="2">
      <c r="A127" s="153">
        <f t="shared" ref="A127:A133" si="10">IF(VLOOKUP("гвс",АО,3,FALSE)&gt;0,VLOOKUP(O127,АО,2,FALSE),0)</f>
        <v>0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53">
        <f t="shared" si="10"/>
        <v>0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53">
        <f t="shared" si="10"/>
        <v>0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53">
        <f t="shared" si="10"/>
        <v>0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53">
        <f t="shared" si="10"/>
        <v>0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53">
        <f t="shared" si="10"/>
        <v>0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53">
        <f t="shared" si="10"/>
        <v>0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6"/>
      <c r="I134" s="156"/>
      <c r="J134" s="156"/>
      <c r="L134" s="49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3638.67</v>
      </c>
      <c r="L136" s="49"/>
      <c r="O136" s="1" t="s">
        <v>154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53" t="s">
        <v>45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169</v>
      </c>
    </row>
    <row r="145" spans="1:15" ht="18.75" customHeight="1" outlineLevel="1">
      <c r="A145" s="153" t="s">
        <v>46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3" t="s">
        <v>172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0</v>
      </c>
      <c r="O146" t="s">
        <v>171</v>
      </c>
    </row>
    <row r="149" spans="1:15" ht="52.5" customHeight="1">
      <c r="A149" s="149" t="s">
        <v>178</v>
      </c>
      <c r="B149" s="149"/>
      <c r="C149" s="149"/>
      <c r="D149" s="149"/>
      <c r="E149" s="149"/>
      <c r="F149" s="149"/>
      <c r="G149" s="149"/>
      <c r="H149" s="149"/>
      <c r="I149" s="149"/>
      <c r="J149" s="14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8" t="s">
        <v>181</v>
      </c>
      <c r="B154" s="148"/>
      <c r="C154" s="148"/>
      <c r="D154" s="148"/>
      <c r="E154" s="27">
        <f>ПТО!G1</f>
        <v>-84074.41</v>
      </c>
    </row>
    <row r="155" spans="1:15" ht="34.5" customHeight="1">
      <c r="A155" s="150" t="s">
        <v>183</v>
      </c>
      <c r="B155" s="150"/>
      <c r="C155" s="150"/>
      <c r="D155" s="150"/>
      <c r="E155" s="28">
        <f>J13</f>
        <v>74451.360000000015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5" t="str">
        <f t="shared" ref="A158:A163" si="14">IF(N158&gt;0,N158,0)</f>
        <v>Техническое обслуживание охранной сигнализации.</v>
      </c>
      <c r="B158" s="145"/>
      <c r="C158" s="145"/>
      <c r="D158" s="145"/>
      <c r="E158" s="145"/>
      <c r="F158" s="146">
        <f t="shared" ref="F158:F163" si="15">IF(ISERROR(VLOOKUP(A158,$A$28:$J$72,6,FALSE)),0,VLOOKUP(A158,$A$28:$J$72,6,FALSE))</f>
        <v>5428.0800000000008</v>
      </c>
      <c r="G158" s="146"/>
      <c r="H158" s="24" t="str">
        <f t="shared" ref="H158:H187" si="16">VLOOKUP(A158,$A$28:$J$72,8,FALSE)</f>
        <v>ежемесячно</v>
      </c>
      <c r="I158" s="147">
        <f t="shared" ref="I158:I161" si="17">VLOOKUP(A158,$A$28:$J$72,9,FALSE)</f>
        <v>12</v>
      </c>
      <c r="J158" s="147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5" t="str">
        <f t="shared" si="14"/>
        <v>Приобретение и установка ОДПУ ХВС.</v>
      </c>
      <c r="B159" s="145"/>
      <c r="C159" s="145"/>
      <c r="D159" s="145"/>
      <c r="E159" s="145"/>
      <c r="F159" s="146">
        <f t="shared" si="15"/>
        <v>2035.72</v>
      </c>
      <c r="G159" s="146"/>
      <c r="H159" s="24" t="str">
        <f t="shared" si="16"/>
        <v>разово</v>
      </c>
      <c r="I159" s="147">
        <f t="shared" si="17"/>
        <v>1</v>
      </c>
      <c r="J159" s="147"/>
      <c r="M159" s="22" t="s">
        <v>72</v>
      </c>
      <c r="N159" s="1" t="str">
        <v>Приобретение и установка ОДПУ ХВС.</v>
      </c>
    </row>
    <row r="160" spans="1:15" ht="28.5" customHeight="1">
      <c r="A160" s="145" t="str">
        <f t="shared" si="14"/>
        <v>Приобретение и установка таблички по пожарной безопасности.</v>
      </c>
      <c r="B160" s="145"/>
      <c r="C160" s="145"/>
      <c r="D160" s="145"/>
      <c r="E160" s="145"/>
      <c r="F160" s="146">
        <f t="shared" si="15"/>
        <v>250</v>
      </c>
      <c r="G160" s="146"/>
      <c r="H160" s="24" t="str">
        <f t="shared" si="16"/>
        <v>разово</v>
      </c>
      <c r="I160" s="147">
        <f t="shared" si="17"/>
        <v>1</v>
      </c>
      <c r="J160" s="147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5" t="str">
        <f>IF(N161&gt;0,N161,0)</f>
        <v>Аварийный ремонт теплообменника отопления в ИТП.</v>
      </c>
      <c r="B161" s="145"/>
      <c r="C161" s="145"/>
      <c r="D161" s="145"/>
      <c r="E161" s="145"/>
      <c r="F161" s="146">
        <f t="shared" si="15"/>
        <v>23530</v>
      </c>
      <c r="G161" s="146"/>
      <c r="H161" s="24" t="str">
        <f t="shared" si="16"/>
        <v>разово</v>
      </c>
      <c r="I161" s="147">
        <f t="shared" si="17"/>
        <v>1</v>
      </c>
      <c r="J161" s="147"/>
      <c r="M161" s="22" t="s">
        <v>72</v>
      </c>
      <c r="N161" s="1" t="str">
        <v>Аварийный ремонт теплообменника отопления в ИТП.</v>
      </c>
    </row>
    <row r="162" spans="1:14" ht="28.5" customHeight="1">
      <c r="A162" s="145" t="str">
        <f t="shared" si="14"/>
        <v>Аварийный ремонт теплообменника ГВС в ИТП.</v>
      </c>
      <c r="B162" s="145"/>
      <c r="C162" s="145"/>
      <c r="D162" s="145"/>
      <c r="E162" s="145"/>
      <c r="F162" s="146">
        <f t="shared" si="15"/>
        <v>18497.25</v>
      </c>
      <c r="G162" s="146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72</v>
      </c>
      <c r="N162" s="1" t="str">
        <v>Аварийный ремонт теплообменника ГВС в ИТП.</v>
      </c>
    </row>
    <row r="163" spans="1:14" ht="28.5" customHeight="1">
      <c r="A163" s="145" t="str">
        <f t="shared" si="14"/>
        <v>Замена прибора учета электрической энергии.</v>
      </c>
      <c r="B163" s="145"/>
      <c r="C163" s="145"/>
      <c r="D163" s="145"/>
      <c r="E163" s="145"/>
      <c r="F163" s="146">
        <f t="shared" si="15"/>
        <v>7209</v>
      </c>
      <c r="G163" s="146"/>
      <c r="H163" s="24" t="str">
        <f t="shared" si="16"/>
        <v>разово</v>
      </c>
      <c r="I163" s="147">
        <f>VLOOKUP(A163,$A$28:$J$72,9,FALSE)</f>
        <v>1</v>
      </c>
      <c r="J163" s="147"/>
      <c r="M163" s="22" t="s">
        <v>72</v>
      </c>
      <c r="N163" s="1" t="str">
        <v>Замена прибора учета электрической энергии.</v>
      </c>
    </row>
    <row r="164" spans="1:14" ht="28.5" customHeight="1">
      <c r="A164" s="145" t="str">
        <f t="shared" ref="A164:A187" si="18">IF(N164&gt;0,N164,0)</f>
        <v>Ремонт подъезда.</v>
      </c>
      <c r="B164" s="145"/>
      <c r="C164" s="145"/>
      <c r="D164" s="145"/>
      <c r="E164" s="145"/>
      <c r="F164" s="146">
        <f t="shared" ref="F164:F187" si="19">IF(ISERROR(VLOOKUP(A164,$A$28:$J$72,6,FALSE)),0,VLOOKUP(A164,$A$28:$J$72,6,FALSE))</f>
        <v>166150</v>
      </c>
      <c r="G164" s="146"/>
      <c r="H164" s="29" t="str">
        <f t="shared" si="16"/>
        <v>разово</v>
      </c>
      <c r="I164" s="147">
        <f t="shared" ref="I164:I187" si="20">VLOOKUP(A164,$A$28:$J$72,9,FALSE)</f>
        <v>1</v>
      </c>
      <c r="J164" s="147"/>
      <c r="M164" s="22" t="s">
        <v>72</v>
      </c>
      <c r="N164" s="1" t="str">
        <v>Ремонт подъезда.</v>
      </c>
    </row>
    <row r="165" spans="1:14" ht="28.5" hidden="1" customHeight="1">
      <c r="A165" s="145">
        <f t="shared" si="18"/>
        <v>0</v>
      </c>
      <c r="B165" s="145"/>
      <c r="C165" s="145"/>
      <c r="D165" s="145"/>
      <c r="E165" s="145"/>
      <c r="F165" s="146">
        <f t="shared" si="19"/>
        <v>0</v>
      </c>
      <c r="G165" s="146"/>
      <c r="H165" s="29" t="e">
        <f t="shared" si="16"/>
        <v>#N/A</v>
      </c>
      <c r="I165" s="147" t="e">
        <f t="shared" si="20"/>
        <v>#N/A</v>
      </c>
      <c r="J165" s="147"/>
      <c r="M165" s="22" t="s">
        <v>72</v>
      </c>
      <c r="N165" s="1">
        <v>0</v>
      </c>
    </row>
    <row r="166" spans="1:14" ht="28.5" hidden="1" customHeight="1">
      <c r="A166" s="145">
        <f t="shared" si="18"/>
        <v>0</v>
      </c>
      <c r="B166" s="145"/>
      <c r="C166" s="145"/>
      <c r="D166" s="145"/>
      <c r="E166" s="145"/>
      <c r="F166" s="146">
        <f t="shared" si="19"/>
        <v>0</v>
      </c>
      <c r="G166" s="146"/>
      <c r="H166" s="29" t="e">
        <f t="shared" si="16"/>
        <v>#N/A</v>
      </c>
      <c r="I166" s="147" t="e">
        <f t="shared" si="20"/>
        <v>#N/A</v>
      </c>
      <c r="J166" s="147"/>
      <c r="M166" s="22" t="s">
        <v>72</v>
      </c>
      <c r="N166" s="1">
        <v>0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46">
        <f t="shared" si="19"/>
        <v>0</v>
      </c>
      <c r="G167" s="146"/>
      <c r="H167" s="29" t="e">
        <f t="shared" si="16"/>
        <v>#N/A</v>
      </c>
      <c r="I167" s="147" t="e">
        <f t="shared" si="20"/>
        <v>#N/A</v>
      </c>
      <c r="J167" s="147"/>
      <c r="M167" s="22" t="s">
        <v>72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46">
        <f t="shared" si="19"/>
        <v>0</v>
      </c>
      <c r="G168" s="146"/>
      <c r="H168" s="29" t="e">
        <f t="shared" si="16"/>
        <v>#N/A</v>
      </c>
      <c r="I168" s="147" t="e">
        <f t="shared" si="20"/>
        <v>#N/A</v>
      </c>
      <c r="J168" s="147"/>
      <c r="M168" s="22" t="s">
        <v>72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46">
        <f t="shared" si="19"/>
        <v>0</v>
      </c>
      <c r="G169" s="146"/>
      <c r="H169" s="29" t="e">
        <f t="shared" si="16"/>
        <v>#N/A</v>
      </c>
      <c r="I169" s="147" t="e">
        <f t="shared" si="20"/>
        <v>#N/A</v>
      </c>
      <c r="J169" s="147"/>
      <c r="M169" s="22" t="s">
        <v>72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46">
        <f t="shared" si="19"/>
        <v>0</v>
      </c>
      <c r="G170" s="146"/>
      <c r="H170" s="29" t="e">
        <f t="shared" si="16"/>
        <v>#N/A</v>
      </c>
      <c r="I170" s="147" t="e">
        <f t="shared" si="20"/>
        <v>#N/A</v>
      </c>
      <c r="J170" s="147"/>
      <c r="M170" s="22" t="s">
        <v>72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46">
        <f t="shared" si="19"/>
        <v>0</v>
      </c>
      <c r="G171" s="146"/>
      <c r="H171" s="29" t="e">
        <f t="shared" si="16"/>
        <v>#N/A</v>
      </c>
      <c r="I171" s="147" t="e">
        <f t="shared" si="20"/>
        <v>#N/A</v>
      </c>
      <c r="J171" s="147"/>
      <c r="M171" s="22" t="s">
        <v>72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46">
        <f t="shared" si="19"/>
        <v>0</v>
      </c>
      <c r="G172" s="146"/>
      <c r="H172" s="29" t="e">
        <f t="shared" si="16"/>
        <v>#N/A</v>
      </c>
      <c r="I172" s="147" t="e">
        <f t="shared" si="20"/>
        <v>#N/A</v>
      </c>
      <c r="J172" s="147"/>
      <c r="M172" s="22" t="s">
        <v>72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46">
        <f t="shared" si="19"/>
        <v>0</v>
      </c>
      <c r="G173" s="146"/>
      <c r="H173" s="29" t="e">
        <f t="shared" si="16"/>
        <v>#N/A</v>
      </c>
      <c r="I173" s="147" t="e">
        <f t="shared" si="20"/>
        <v>#N/A</v>
      </c>
      <c r="J173" s="147"/>
      <c r="M173" s="22" t="s">
        <v>72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46">
        <f t="shared" si="19"/>
        <v>0</v>
      </c>
      <c r="G174" s="146"/>
      <c r="H174" s="29" t="e">
        <f t="shared" si="16"/>
        <v>#N/A</v>
      </c>
      <c r="I174" s="147" t="e">
        <f t="shared" si="20"/>
        <v>#N/A</v>
      </c>
      <c r="J174" s="147"/>
      <c r="M174" s="22" t="s">
        <v>72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46">
        <f t="shared" si="19"/>
        <v>0</v>
      </c>
      <c r="G175" s="146"/>
      <c r="H175" s="29" t="e">
        <f t="shared" si="16"/>
        <v>#N/A</v>
      </c>
      <c r="I175" s="147" t="e">
        <f t="shared" si="20"/>
        <v>#N/A</v>
      </c>
      <c r="J175" s="147"/>
      <c r="M175" s="22" t="s">
        <v>72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46">
        <f t="shared" si="19"/>
        <v>0</v>
      </c>
      <c r="G176" s="146"/>
      <c r="H176" s="29" t="e">
        <f t="shared" si="16"/>
        <v>#N/A</v>
      </c>
      <c r="I176" s="147" t="e">
        <f t="shared" si="20"/>
        <v>#N/A</v>
      </c>
      <c r="J176" s="147"/>
      <c r="M176" s="22" t="s">
        <v>72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46">
        <f t="shared" si="19"/>
        <v>0</v>
      </c>
      <c r="G177" s="146"/>
      <c r="H177" s="29" t="e">
        <f t="shared" si="16"/>
        <v>#N/A</v>
      </c>
      <c r="I177" s="147" t="e">
        <f t="shared" si="20"/>
        <v>#N/A</v>
      </c>
      <c r="J177" s="147"/>
      <c r="M177" s="22" t="s">
        <v>72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46">
        <f t="shared" si="19"/>
        <v>0</v>
      </c>
      <c r="G178" s="146"/>
      <c r="H178" s="29" t="e">
        <f t="shared" si="16"/>
        <v>#N/A</v>
      </c>
      <c r="I178" s="147" t="e">
        <f t="shared" si="20"/>
        <v>#N/A</v>
      </c>
      <c r="J178" s="147"/>
      <c r="M178" s="22" t="s">
        <v>72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46">
        <f t="shared" si="19"/>
        <v>0</v>
      </c>
      <c r="G179" s="146"/>
      <c r="H179" s="29" t="e">
        <f t="shared" si="16"/>
        <v>#N/A</v>
      </c>
      <c r="I179" s="147" t="e">
        <f t="shared" si="20"/>
        <v>#N/A</v>
      </c>
      <c r="J179" s="147"/>
      <c r="M179" s="22" t="s">
        <v>72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46">
        <f t="shared" si="19"/>
        <v>0</v>
      </c>
      <c r="G180" s="146"/>
      <c r="H180" s="29" t="e">
        <f t="shared" si="16"/>
        <v>#N/A</v>
      </c>
      <c r="I180" s="147" t="e">
        <f t="shared" si="20"/>
        <v>#N/A</v>
      </c>
      <c r="J180" s="147"/>
      <c r="M180" s="22" t="s">
        <v>72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46">
        <f t="shared" si="19"/>
        <v>0</v>
      </c>
      <c r="G181" s="146"/>
      <c r="H181" s="29" t="e">
        <f t="shared" si="16"/>
        <v>#N/A</v>
      </c>
      <c r="I181" s="147" t="e">
        <f t="shared" si="20"/>
        <v>#N/A</v>
      </c>
      <c r="J181" s="147"/>
      <c r="M181" s="22" t="s">
        <v>72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46">
        <f t="shared" si="19"/>
        <v>0</v>
      </c>
      <c r="G182" s="146"/>
      <c r="H182" s="29" t="e">
        <f t="shared" si="16"/>
        <v>#N/A</v>
      </c>
      <c r="I182" s="147" t="e">
        <f t="shared" si="20"/>
        <v>#N/A</v>
      </c>
      <c r="J182" s="147"/>
      <c r="M182" s="22" t="s">
        <v>72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46">
        <f t="shared" si="19"/>
        <v>0</v>
      </c>
      <c r="G183" s="146"/>
      <c r="H183" s="29" t="e">
        <f t="shared" si="16"/>
        <v>#N/A</v>
      </c>
      <c r="I183" s="147" t="e">
        <f t="shared" si="20"/>
        <v>#N/A</v>
      </c>
      <c r="J183" s="147"/>
      <c r="M183" s="22" t="s">
        <v>72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46">
        <f t="shared" si="19"/>
        <v>0</v>
      </c>
      <c r="G184" s="146"/>
      <c r="H184" s="29" t="e">
        <f t="shared" si="16"/>
        <v>#N/A</v>
      </c>
      <c r="I184" s="147" t="e">
        <f t="shared" si="20"/>
        <v>#N/A</v>
      </c>
      <c r="J184" s="147"/>
      <c r="M184" s="22" t="s">
        <v>72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46">
        <f t="shared" si="19"/>
        <v>0</v>
      </c>
      <c r="G185" s="146"/>
      <c r="H185" s="29" t="e">
        <f t="shared" si="16"/>
        <v>#N/A</v>
      </c>
      <c r="I185" s="147" t="e">
        <f t="shared" si="20"/>
        <v>#N/A</v>
      </c>
      <c r="J185" s="147"/>
      <c r="M185" s="22" t="s">
        <v>72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46">
        <f t="shared" si="19"/>
        <v>0</v>
      </c>
      <c r="G186" s="146"/>
      <c r="H186" s="29" t="e">
        <f t="shared" si="16"/>
        <v>#N/A</v>
      </c>
      <c r="I186" s="147" t="e">
        <f t="shared" si="20"/>
        <v>#N/A</v>
      </c>
      <c r="J186" s="147"/>
      <c r="M186" s="22" t="s">
        <v>72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46">
        <f t="shared" si="19"/>
        <v>0</v>
      </c>
      <c r="G187" s="146"/>
      <c r="H187" s="29" t="e">
        <f t="shared" si="16"/>
        <v>#N/A</v>
      </c>
      <c r="I187" s="147" t="e">
        <f t="shared" si="20"/>
        <v>#N/A</v>
      </c>
      <c r="J187" s="147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48" t="s">
        <v>184</v>
      </c>
      <c r="B190" s="148"/>
      <c r="C190" s="148"/>
      <c r="D190" s="148"/>
      <c r="E190" s="27">
        <f>SUM(F158:G187)</f>
        <v>223100.05</v>
      </c>
    </row>
    <row r="191" spans="1:14" ht="51.75" customHeight="1">
      <c r="A191" s="148" t="s">
        <v>185</v>
      </c>
      <c r="B191" s="148"/>
      <c r="C191" s="148"/>
      <c r="D191" s="148"/>
      <c r="E191" s="27">
        <f>E190+E154-E155</f>
        <v>64574.27999999997</v>
      </c>
    </row>
    <row r="192" spans="1:14">
      <c r="A192" s="107" t="s">
        <v>173</v>
      </c>
    </row>
    <row r="193" spans="1:10" ht="62.25" customHeight="1">
      <c r="A193" s="173" t="s">
        <v>182</v>
      </c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spans="1:10">
      <c r="A194" s="172" t="str">
        <f>ПТО!F12</f>
        <v xml:space="preserve">  -  поверка (замена) манометров и термометров</v>
      </c>
      <c r="B194" s="172"/>
      <c r="C194" s="172"/>
      <c r="D194" s="172"/>
      <c r="E194" s="172"/>
      <c r="F194" s="172"/>
      <c r="G194" s="172"/>
      <c r="H194" s="51">
        <f>ПТО!G12</f>
        <v>1200</v>
      </c>
      <c r="I194" s="52" t="s">
        <v>74</v>
      </c>
    </row>
    <row r="195" spans="1:10" ht="18.75" customHeight="1">
      <c r="A195" s="172" t="str">
        <f>ПТО!F13</f>
        <v xml:space="preserve">  -  техническое обслуживание охранной сигнализации</v>
      </c>
      <c r="B195" s="172"/>
      <c r="C195" s="172"/>
      <c r="D195" s="172"/>
      <c r="E195" s="172"/>
      <c r="F195" s="172"/>
      <c r="G195" s="172"/>
      <c r="H195" s="51">
        <f>ПТО!G13</f>
        <v>5450</v>
      </c>
      <c r="I195" s="52" t="s">
        <v>74</v>
      </c>
    </row>
    <row r="196" spans="1:10" ht="18.75" customHeight="1">
      <c r="A196" s="172" t="str">
        <f>ПТО!F14</f>
        <v xml:space="preserve">  -  установка газонного ограждения</v>
      </c>
      <c r="B196" s="172"/>
      <c r="C196" s="172"/>
      <c r="D196" s="172"/>
      <c r="E196" s="172"/>
      <c r="F196" s="172"/>
      <c r="G196" s="172"/>
      <c r="H196" s="51">
        <f>ПТО!G14</f>
        <v>70000</v>
      </c>
      <c r="I196" s="52" t="s">
        <v>74</v>
      </c>
    </row>
    <row r="197" spans="1:10" ht="18.75" hidden="1" customHeight="1">
      <c r="A197" s="172">
        <f>ПТО!F15</f>
        <v>0</v>
      </c>
      <c r="B197" s="172"/>
      <c r="C197" s="172"/>
      <c r="D197" s="172"/>
      <c r="E197" s="172"/>
      <c r="F197" s="172"/>
      <c r="G197" s="172"/>
      <c r="H197" s="51">
        <f>ПТО!G15</f>
        <v>0</v>
      </c>
      <c r="I197" s="52" t="s">
        <v>74</v>
      </c>
    </row>
    <row r="198" spans="1:10" ht="18.75" hidden="1" customHeight="1">
      <c r="A198" s="172">
        <f>ПТО!F16</f>
        <v>0</v>
      </c>
      <c r="B198" s="172"/>
      <c r="C198" s="172"/>
      <c r="D198" s="172"/>
      <c r="E198" s="172"/>
      <c r="F198" s="172"/>
      <c r="G198" s="172"/>
      <c r="H198" s="51">
        <f>ПТО!G16</f>
        <v>0</v>
      </c>
      <c r="I198" s="54" t="s">
        <v>74</v>
      </c>
    </row>
    <row r="199" spans="1:10" ht="18.75" hidden="1" customHeight="1">
      <c r="A199" s="172">
        <f>ПТО!F17</f>
        <v>0</v>
      </c>
      <c r="B199" s="172"/>
      <c r="C199" s="172"/>
      <c r="D199" s="172"/>
      <c r="E199" s="172"/>
      <c r="F199" s="172"/>
      <c r="G199" s="172"/>
      <c r="H199" s="51">
        <f>ПТО!G17</f>
        <v>0</v>
      </c>
      <c r="I199" s="52" t="s">
        <v>74</v>
      </c>
    </row>
    <row r="200" spans="1:10" hidden="1">
      <c r="A200" s="172">
        <f>ПТО!F18</f>
        <v>0</v>
      </c>
      <c r="B200" s="172"/>
      <c r="C200" s="172"/>
      <c r="D200" s="172"/>
      <c r="E200" s="172"/>
      <c r="F200" s="172"/>
      <c r="G200" s="172"/>
      <c r="H200" s="51">
        <f>ПТО!G18</f>
        <v>0</v>
      </c>
      <c r="I200" s="52" t="s">
        <v>74</v>
      </c>
    </row>
    <row r="201" spans="1:10" hidden="1">
      <c r="A201" s="172">
        <f>ПТО!F19</f>
        <v>0</v>
      </c>
      <c r="B201" s="172"/>
      <c r="C201" s="172"/>
      <c r="D201" s="172"/>
      <c r="E201" s="172"/>
      <c r="F201" s="172"/>
      <c r="G201" s="172"/>
      <c r="H201" s="51">
        <f>ПТО!G19</f>
        <v>0</v>
      </c>
      <c r="I201" s="52" t="s">
        <v>74</v>
      </c>
    </row>
    <row r="202" spans="1:10" hidden="1">
      <c r="A202" s="172">
        <f>ПТО!F20</f>
        <v>0</v>
      </c>
      <c r="B202" s="172"/>
      <c r="C202" s="172"/>
      <c r="D202" s="172"/>
      <c r="E202" s="172"/>
      <c r="F202" s="172"/>
      <c r="G202" s="172"/>
      <c r="H202" s="51">
        <f>ПТО!G20</f>
        <v>0</v>
      </c>
      <c r="I202" s="52" t="s">
        <v>74</v>
      </c>
    </row>
    <row r="203" spans="1:10" hidden="1">
      <c r="A203" s="172">
        <f>ПТО!F21</f>
        <v>0</v>
      </c>
      <c r="B203" s="172"/>
      <c r="C203" s="172"/>
      <c r="D203" s="172"/>
      <c r="E203" s="172"/>
      <c r="F203" s="172"/>
      <c r="G203" s="172"/>
      <c r="H203" s="51">
        <f>ПТО!G21</f>
        <v>0</v>
      </c>
      <c r="I203" s="52" t="s">
        <v>74</v>
      </c>
    </row>
    <row r="204" spans="1:10" hidden="1">
      <c r="A204" s="172">
        <f>ПТО!F22</f>
        <v>0</v>
      </c>
      <c r="B204" s="172"/>
      <c r="C204" s="172"/>
      <c r="D204" s="172"/>
      <c r="E204" s="172"/>
      <c r="F204" s="172"/>
      <c r="G204" s="172"/>
      <c r="H204" s="51">
        <f>ПТО!G22</f>
        <v>0</v>
      </c>
      <c r="I204" s="52" t="s">
        <v>74</v>
      </c>
    </row>
    <row r="205" spans="1:10" hidden="1">
      <c r="A205" s="172">
        <f>ПТО!F23</f>
        <v>0</v>
      </c>
      <c r="B205" s="172"/>
      <c r="C205" s="172"/>
      <c r="D205" s="172"/>
      <c r="E205" s="172"/>
      <c r="F205" s="172"/>
      <c r="G205" s="172"/>
      <c r="H205" s="51">
        <f>ПТО!G23</f>
        <v>0</v>
      </c>
      <c r="I205" s="52" t="s">
        <v>74</v>
      </c>
    </row>
    <row r="206" spans="1:10" hidden="1">
      <c r="A206" s="172">
        <f>ПТО!F24</f>
        <v>0</v>
      </c>
      <c r="B206" s="172"/>
      <c r="C206" s="172"/>
      <c r="D206" s="172"/>
      <c r="E206" s="172"/>
      <c r="F206" s="172"/>
      <c r="G206" s="172"/>
      <c r="H206" s="51">
        <f>ПТО!G24</f>
        <v>0</v>
      </c>
      <c r="I206" s="52" t="s">
        <v>74</v>
      </c>
    </row>
    <row r="207" spans="1:10" hidden="1">
      <c r="A207" s="172">
        <f>ПТО!F25</f>
        <v>0</v>
      </c>
      <c r="B207" s="172"/>
      <c r="C207" s="172"/>
      <c r="D207" s="172"/>
      <c r="E207" s="172"/>
      <c r="F207" s="172"/>
      <c r="G207" s="172"/>
      <c r="H207" s="51">
        <f>ПТО!G25</f>
        <v>0</v>
      </c>
      <c r="I207" s="52" t="s">
        <v>74</v>
      </c>
    </row>
    <row r="208" spans="1:10" hidden="1">
      <c r="A208" s="172">
        <f>ПТО!F26</f>
        <v>0</v>
      </c>
      <c r="B208" s="172"/>
      <c r="C208" s="172"/>
      <c r="D208" s="172"/>
      <c r="E208" s="172"/>
      <c r="F208" s="172"/>
      <c r="G208" s="172"/>
      <c r="H208" s="51">
        <f>ПТО!G26</f>
        <v>0</v>
      </c>
      <c r="I208" s="52" t="s">
        <v>74</v>
      </c>
    </row>
    <row r="209" spans="1:9" hidden="1">
      <c r="A209" s="172">
        <f>ПТО!F27</f>
        <v>0</v>
      </c>
      <c r="B209" s="172"/>
      <c r="C209" s="172"/>
      <c r="D209" s="172"/>
      <c r="E209" s="172"/>
      <c r="F209" s="172"/>
      <c r="G209" s="172"/>
      <c r="H209" s="51">
        <f>ПТО!G27</f>
        <v>0</v>
      </c>
      <c r="I209" s="52" t="s">
        <v>74</v>
      </c>
    </row>
    <row r="210" spans="1:9" hidden="1">
      <c r="A210" s="172">
        <f>ПТО!F28</f>
        <v>0</v>
      </c>
      <c r="B210" s="172"/>
      <c r="C210" s="172"/>
      <c r="D210" s="172"/>
      <c r="E210" s="172"/>
      <c r="F210" s="172"/>
      <c r="G210" s="172"/>
      <c r="H210" s="51">
        <f>ПТО!G28</f>
        <v>0</v>
      </c>
      <c r="I210" s="52" t="s">
        <v>74</v>
      </c>
    </row>
    <row r="211" spans="1:9" hidden="1">
      <c r="A211" s="172">
        <f>ПТО!F29</f>
        <v>0</v>
      </c>
      <c r="B211" s="172"/>
      <c r="C211" s="172"/>
      <c r="D211" s="172"/>
      <c r="E211" s="172"/>
      <c r="F211" s="172"/>
      <c r="G211" s="172"/>
      <c r="H211" s="51">
        <f>ПТО!G29</f>
        <v>0</v>
      </c>
      <c r="I211" s="52" t="s">
        <v>74</v>
      </c>
    </row>
    <row r="212" spans="1:9" hidden="1">
      <c r="A212" s="172">
        <f>ПТО!F30</f>
        <v>0</v>
      </c>
      <c r="B212" s="172"/>
      <c r="C212" s="172"/>
      <c r="D212" s="172"/>
      <c r="E212" s="172"/>
      <c r="F212" s="172"/>
      <c r="G212" s="172"/>
      <c r="H212" s="51">
        <f>ПТО!G30</f>
        <v>0</v>
      </c>
      <c r="I212" s="52" t="s">
        <v>74</v>
      </c>
    </row>
    <row r="213" spans="1:9" hidden="1">
      <c r="A213" s="172">
        <f>ПТО!F31</f>
        <v>0</v>
      </c>
      <c r="B213" s="172"/>
      <c r="C213" s="172"/>
      <c r="D213" s="172"/>
      <c r="E213" s="172"/>
      <c r="F213" s="172"/>
      <c r="G213" s="172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76650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-84074.41</f>
        <v>-84074.41</v>
      </c>
    </row>
    <row r="2" spans="1:12" ht="18.75" customHeight="1">
      <c r="A2" s="127" t="s">
        <v>179</v>
      </c>
      <c r="B2" s="124" t="s">
        <v>176</v>
      </c>
      <c r="C2" s="121">
        <v>12</v>
      </c>
      <c r="D2" s="122">
        <v>5428.0800000000008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186</v>
      </c>
      <c r="B3" s="124" t="s">
        <v>187</v>
      </c>
      <c r="C3" s="121">
        <v>1</v>
      </c>
      <c r="D3" s="123">
        <v>2035.72</v>
      </c>
      <c r="E3" s="125" t="s">
        <v>188</v>
      </c>
      <c r="F3" s="30"/>
      <c r="G3" s="30"/>
      <c r="L3" s="33" t="str">
        <f t="shared" si="0"/>
        <v>ТР</v>
      </c>
    </row>
    <row r="4" spans="1:12" ht="18.75" customHeight="1">
      <c r="A4" s="129" t="s">
        <v>189</v>
      </c>
      <c r="B4" s="130" t="s">
        <v>187</v>
      </c>
      <c r="C4" s="131">
        <v>1</v>
      </c>
      <c r="D4" s="132">
        <v>250</v>
      </c>
      <c r="E4" s="133" t="s">
        <v>190</v>
      </c>
      <c r="F4" s="30"/>
      <c r="G4" s="30"/>
      <c r="L4" s="33" t="str">
        <f t="shared" si="0"/>
        <v>ТР</v>
      </c>
    </row>
    <row r="5" spans="1:12" ht="18.75" customHeight="1">
      <c r="A5" s="134" t="s">
        <v>194</v>
      </c>
      <c r="B5" s="135" t="s">
        <v>187</v>
      </c>
      <c r="C5" s="45">
        <v>1</v>
      </c>
      <c r="D5" s="48">
        <v>23530</v>
      </c>
      <c r="E5" s="134" t="s">
        <v>195</v>
      </c>
      <c r="F5" s="46"/>
      <c r="G5" s="46"/>
      <c r="K5" s="48"/>
      <c r="L5" s="33" t="str">
        <f t="shared" si="0"/>
        <v>ТР</v>
      </c>
    </row>
    <row r="6" spans="1:12" ht="18.75" customHeight="1">
      <c r="A6" s="134" t="s">
        <v>192</v>
      </c>
      <c r="B6" s="135" t="s">
        <v>187</v>
      </c>
      <c r="C6" s="45">
        <v>1</v>
      </c>
      <c r="D6" s="48">
        <v>18497.25</v>
      </c>
      <c r="E6" s="134" t="s">
        <v>193</v>
      </c>
      <c r="F6" s="46"/>
      <c r="G6" s="46"/>
      <c r="K6" s="48"/>
      <c r="L6" s="33" t="str">
        <f t="shared" si="0"/>
        <v>ТР</v>
      </c>
    </row>
    <row r="7" spans="1:12" ht="18.75" customHeight="1">
      <c r="A7" s="139" t="s">
        <v>197</v>
      </c>
      <c r="B7" s="140" t="s">
        <v>187</v>
      </c>
      <c r="C7" s="141">
        <v>1</v>
      </c>
      <c r="D7" s="142">
        <v>7209</v>
      </c>
      <c r="E7" s="143" t="s">
        <v>198</v>
      </c>
      <c r="F7" s="47"/>
      <c r="G7" s="47"/>
      <c r="K7" s="48"/>
      <c r="L7" s="33" t="str">
        <f t="shared" si="0"/>
        <v>ТР</v>
      </c>
    </row>
    <row r="8" spans="1:12" ht="18.75" customHeight="1">
      <c r="A8" s="136" t="s">
        <v>191</v>
      </c>
      <c r="B8" s="137" t="s">
        <v>187</v>
      </c>
      <c r="C8" s="121">
        <v>1</v>
      </c>
      <c r="D8" s="123">
        <v>166150</v>
      </c>
      <c r="E8" s="138" t="s">
        <v>196</v>
      </c>
      <c r="F8" s="47"/>
      <c r="G8" s="47"/>
      <c r="K8" s="44"/>
      <c r="L8" s="33" t="str">
        <f t="shared" si="0"/>
        <v>ТР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182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7">
        <v>1200</v>
      </c>
      <c r="L12" s="33">
        <f t="shared" si="0"/>
        <v>0</v>
      </c>
    </row>
    <row r="13" spans="1:12" ht="31.5">
      <c r="A13" s="30"/>
      <c r="F13" s="115" t="s">
        <v>180</v>
      </c>
      <c r="G13" s="117">
        <v>5450</v>
      </c>
      <c r="L13" s="33">
        <f t="shared" si="0"/>
        <v>0</v>
      </c>
    </row>
    <row r="14" spans="1:12" ht="15.75">
      <c r="A14" s="30"/>
      <c r="F14" s="128" t="s">
        <v>199</v>
      </c>
      <c r="G14" s="144">
        <v>70000</v>
      </c>
      <c r="L14" s="33">
        <f t="shared" si="0"/>
        <v>0</v>
      </c>
    </row>
    <row r="15" spans="1:12" ht="15.75">
      <c r="A15" s="30"/>
      <c r="F15" s="128"/>
      <c r="G15" s="117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34698.480000000003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34698.480000000003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34152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34152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29097.48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16392.96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16392.96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6966.96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6966.96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28687.68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28687.68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redfwuIlU8gNeXSxEiipDKHuiFk4/JHAkYzxRcLdDb421vkmq4qRnriN8fW+WV+XQJstQVwIGeiDSLFqiKTzzw==" saltValue="8D/fV4RH4eVZP7SqpbcqI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1138.4000000000001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186405.11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228973.29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154521.93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74451.360000000015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257666.25000000009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257666.25000000009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257666.25000000009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157712.14999999994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6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6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6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6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5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5"/>
      <c r="N26" s="65"/>
    </row>
    <row r="27" spans="1:15" ht="18.75" customHeight="1">
      <c r="A27" s="72" t="s">
        <v>104</v>
      </c>
      <c r="B27" s="77" t="s">
        <v>4</v>
      </c>
      <c r="C27" s="88">
        <v>154462.74</v>
      </c>
      <c r="D27" s="83" t="s">
        <v>60</v>
      </c>
      <c r="E27" s="66"/>
      <c r="F27" s="66"/>
      <c r="G27" s="66"/>
      <c r="H27" s="66"/>
      <c r="I27" s="66"/>
      <c r="J27" s="66"/>
      <c r="M27" s="175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5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5"/>
      <c r="N29" s="65"/>
    </row>
    <row r="30" spans="1:15" ht="18.75" customHeight="1">
      <c r="A30" s="72" t="s">
        <v>107</v>
      </c>
      <c r="B30" s="77" t="s">
        <v>18</v>
      </c>
      <c r="C30" s="88">
        <v>112910.78</v>
      </c>
      <c r="D30" s="83" t="s">
        <v>66</v>
      </c>
      <c r="E30" s="66"/>
      <c r="F30" s="66"/>
      <c r="G30" s="66"/>
      <c r="H30" s="66"/>
      <c r="I30" s="66"/>
      <c r="J30" s="66"/>
      <c r="M30" s="175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5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5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5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5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94005.060000000041</v>
      </c>
      <c r="F37" s="96" t="s">
        <v>166</v>
      </c>
      <c r="G37" s="68"/>
      <c r="H37" s="68"/>
      <c r="I37" s="68"/>
      <c r="L37" s="65"/>
      <c r="M37" s="174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82460.578947368471</v>
      </c>
      <c r="D38" s="96" t="s">
        <v>164</v>
      </c>
      <c r="E38" s="70"/>
      <c r="G38" s="69"/>
      <c r="H38" s="69"/>
      <c r="L38" s="65"/>
      <c r="M38" s="174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110801.61</v>
      </c>
      <c r="D39" s="96" t="s">
        <v>165</v>
      </c>
      <c r="E39" s="70"/>
      <c r="G39" s="69"/>
      <c r="H39" s="69"/>
      <c r="L39" s="65"/>
      <c r="M39" s="174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4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94005.060000000041</v>
      </c>
      <c r="D41" s="82" t="s">
        <v>59</v>
      </c>
      <c r="E41" s="70"/>
      <c r="G41" s="69"/>
      <c r="H41" s="69"/>
      <c r="L41" s="65"/>
      <c r="M41" s="174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94005.060000000041</v>
      </c>
      <c r="D42" s="82" t="s">
        <v>59</v>
      </c>
      <c r="E42" s="70"/>
      <c r="G42" s="69"/>
      <c r="H42" s="69"/>
      <c r="L42" s="65"/>
      <c r="M42" s="174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4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4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63854.44</v>
      </c>
      <c r="F45" s="96" t="s">
        <v>166</v>
      </c>
      <c r="G45" s="68"/>
      <c r="H45" s="68"/>
      <c r="L45" s="65"/>
      <c r="M45" s="174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4719.4708056171476</v>
      </c>
      <c r="D46" s="96" t="s">
        <v>167</v>
      </c>
      <c r="E46" s="70"/>
      <c r="G46" s="69"/>
      <c r="H46" s="69"/>
      <c r="L46" s="65"/>
      <c r="M46" s="174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73341.390000000014</v>
      </c>
      <c r="D47" s="96" t="s">
        <v>165</v>
      </c>
      <c r="E47" s="70"/>
      <c r="G47" s="69"/>
      <c r="H47" s="69"/>
      <c r="L47" s="65"/>
      <c r="M47" s="174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4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63854.44</v>
      </c>
      <c r="D49" s="82" t="s">
        <v>59</v>
      </c>
      <c r="E49" s="70"/>
      <c r="G49" s="69"/>
      <c r="H49" s="69"/>
      <c r="L49" s="65"/>
      <c r="M49" s="174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63854.44</v>
      </c>
      <c r="D50" s="82" t="s">
        <v>59</v>
      </c>
      <c r="E50" s="70"/>
      <c r="G50" s="69"/>
      <c r="H50" s="69"/>
      <c r="L50" s="65"/>
      <c r="M50" s="174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4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4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73628.14</v>
      </c>
      <c r="F53" s="96" t="s">
        <v>166</v>
      </c>
      <c r="G53" s="68"/>
      <c r="H53" s="68"/>
      <c r="L53" s="65"/>
      <c r="M53" s="174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4771.7524303305254</v>
      </c>
      <c r="D54" s="96" t="s">
        <v>167</v>
      </c>
      <c r="E54" s="71"/>
      <c r="F54" s="91"/>
      <c r="G54" s="66"/>
      <c r="H54" s="66"/>
      <c r="L54" s="65"/>
      <c r="M54" s="174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81496.359999999986</v>
      </c>
      <c r="D55" s="96" t="s">
        <v>165</v>
      </c>
      <c r="E55" s="71"/>
      <c r="G55" s="66"/>
      <c r="H55" s="66"/>
      <c r="L55" s="65"/>
      <c r="M55" s="174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4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73628.14</v>
      </c>
      <c r="D57" s="82" t="s">
        <v>59</v>
      </c>
      <c r="E57" s="71"/>
      <c r="G57" s="66"/>
      <c r="H57" s="66"/>
      <c r="L57" s="65"/>
      <c r="M57" s="174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73628.14</v>
      </c>
      <c r="D58" s="82" t="s">
        <v>59</v>
      </c>
      <c r="E58" s="71"/>
      <c r="G58" s="66"/>
      <c r="H58" s="66"/>
      <c r="L58" s="65"/>
      <c r="M58" s="174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4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4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3074.6600000000003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3638.67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2021-03-26T07:26:58Z</dcterms:modified>
</cp:coreProperties>
</file>