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F94" i="1" l="1"/>
  <c r="F134" i="1"/>
  <c r="A124" i="1"/>
  <c r="A141" i="1"/>
  <c r="D118" i="1"/>
  <c r="A120" i="1"/>
  <c r="A97" i="1"/>
  <c r="A110" i="1"/>
  <c r="A111" i="1"/>
  <c r="F118" i="1"/>
  <c r="A121" i="1"/>
  <c r="A137" i="1"/>
  <c r="A99" i="1"/>
  <c r="A98" i="1"/>
  <c r="A94" i="1"/>
  <c r="A95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<sst xmlns="http://schemas.openxmlformats.org/spreadsheetml/2006/main" count="548" uniqueCount="199">
  <si>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</si>
  <si>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</si>
  <si>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</si>
  <si>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</si>
  <si>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</si>
  <si>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</si>
  <si>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</si>
  <si>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</si>
  <si>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</si>
  <si>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</si>
  <si>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</si>
  <si>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</si>
  <si>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</si>
  <si>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</si>
  <si>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</si>
  <si>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</si>
  <si>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</si>
  <si>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</si>
  <si>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</si>
  <si>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</si>
  <si>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</si>
  <si>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</si>
  <si>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</si>
  <si>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</si>
  <si>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</si>
  <si>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</si>
  <si>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</si>
  <si>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</si>
  <si>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</si>
  <si>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</si>
  <si>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</si>
  <si>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</si>
  <si>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</si>
  <si>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</si>
  <si>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</si>
  <si>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</si>
  <si>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</si>
  <si>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</si>
  <si>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</si>
  <si>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</si>
  <si>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</si>
  <si>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</si>
  <si>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</si>
  <si>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</si>
  <si>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</si>
  <si>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</si>
  <si>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</si>
  <si>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</si>
  <si>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</si>
  <si>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</si>
  <si>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</si>
  <si>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</si>
  <si>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</si>
  <si>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</si>
  <si>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</si>
  <si>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</si>
  <si>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</si>
  <si>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</si>
  <si>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</si>
  <si>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</si>
  <si>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</si>
  <si>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</si>
  <si>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</si>
  <si>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</si>
  <si>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</si>
  <si>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</si>
  <si>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</si>
  <si>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</si>
  <si>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</si>
  <si>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</si>
  <si>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</si>
  <si>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</si>
  <si>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</si>
  <si>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</si>
  <si>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</si>
  <si>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</si>
  <si>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</si>
  <si>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</si>
  <si>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</si>
  <si>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</si>
  <si>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</si>
  <si>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</si>
  <si>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</si>
  <si>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</si>
  <si>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</si>
  <si>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</si>
  <si>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</si>
  <si>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</si>
  <si>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</si>
  <si>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</si>
  <si>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</si>
  <si>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</si>
  <si>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</si>
  <si>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</si>
  <si>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</si>
  <si>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</si>
  <si>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</si>
  <si>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</si>
  <si>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</si>
  <si>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</si>
  <si>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</si>
  <si>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</si>
  <si>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</si>
  <si>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</si>
  <si>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</si>
  <si>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</si>
  <si>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</si>
  <si>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</si>
  <si>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</si>
  <si>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</si>
  <si>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</si>
  <si>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</si>
  <si>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</si>
  <si>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</si>
  <si>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</si>
  <si>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</si>
  <si>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</si>
  <si>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</si>
  <si>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</si>
  <si>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</si>
  <si>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</si>
  <si>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</si>
  <si>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</si>
  <si>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</si>
  <si>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</si>
  <si>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</si>
  <si>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</si>
  <si>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</si>
  <si>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</si>
  <si>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</si>
  <si>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</si>
  <si>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</si>
  <si>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</si>
  <si>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</si>
  <si>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</si>
  <si>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</si>
  <si>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</si>
  <si>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</si>
  <si>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</si>
  <si>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</si>
  <si>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</si>
  <si>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</si>
  <si>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</si>
  <si>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</si>
  <si>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</si>
  <si>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</si>
  <si>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</si>
  <si>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</si>
  <si>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</si>
  <si>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</si>
  <si>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</si>
  <si>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</si>
  <si>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</si>
  <si>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</si>
  <si>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</si>
  <si>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</si>
  <si>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</si>
  <si>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</si>
  <si>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</si>
  <si>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</si>
  <si>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</si>
  <si>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</si>
  <si>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</si>
  <si>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</si>
  <si>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</si>
  <si>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</si>
  <si>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</si>
  <si>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</si>
  <si>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</si>
  <si>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</si>
  <si>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</si>
  <si>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</si>
  <si>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</si>
  <si>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</si>
  <si>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84</t>
  </si>
  <si>
    <t>ежемесячно</t>
  </si>
  <si>
    <t>площадь дома</t>
  </si>
  <si>
    <t>с 01.08.2019 приказ №59 от 26.08.2019, Протокол №1-2 от 29.05.2019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</si>
  <si>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</si>
  <si>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</si>
  <si>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84 в части текущего ремонта</t>
  </si>
  <si>
    <t>Работы (услуги) по управлению многоквартирным домом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</si>
  <si>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</si>
  <si>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</si>
  <si>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</si>
  <si>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</si>
  <si>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</si>
  <si>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</si>
  <si>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</si>
  <si>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</si>
  <si>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</si>
  <si>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</si>
  <si>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</si>
  <si>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Изготовление и установка газонного ограждения.</t>
  </si>
  <si>
    <t>АВР 4/20 от 31.08.2020, Решение</t>
  </si>
  <si>
    <t>Замена прибора учета электрической энергии.</t>
  </si>
  <si>
    <t>АВР 3/20 от 08.07.2020</t>
  </si>
  <si>
    <t>Приобретение профлиста для ограждения приямков.</t>
  </si>
  <si>
    <t>АВР 5/20 от 23.10.2020, счет №294 от 06.10.2020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</si>
</sst>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25" fillId="0" borderId="0"/>
    <xf numFmtId="0" fontId="25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</cellStyleXfs>
  <cellXfs count="185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24" fillId="0" borderId="0" xfId="5" applyFont="1" applyFill="1" applyBorder="1" applyAlignment="1"/>
    <xf numFmtId="4" fontId="10" fillId="0" borderId="0" xfId="5" applyNumberFormat="1" applyFill="1" applyBorder="1" applyAlignment="1"/>
    <xf numFmtId="4" fontId="10" fillId="0" borderId="0" xfId="5" applyNumberFormat="1" applyBorder="1" applyAlignment="1"/>
    <xf numFmtId="0" fontId="24" fillId="0" borderId="0" xfId="5" applyFont="1" applyFill="1" applyBorder="1" applyAlignment="1">
      <alignment horizontal="center"/>
    </xf>
    <xf numFmtId="0" fontId="10" fillId="0" borderId="0" xfId="5" applyFill="1" applyBorder="1" applyAlignment="1">
      <alignment horizontal="center" vertical="center"/>
    </xf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4" fontId="14" fillId="0" borderId="5" xfId="0" applyNumberFormat="1" applyFont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6" fillId="0" borderId="0" xfId="4" applyFont="1" applyFill="1" applyBorder="1" applyAlignment="1">
      <alignment horizontal="center"/>
    </xf>
    <xf numFmtId="0" fontId="5" fillId="0" borderId="0" xfId="5" applyFon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9" applyFont="1" applyFill="1"/>
    <xf numFmtId="0" fontId="3" fillId="0" borderId="0" xfId="5" applyFont="1" applyFill="1" applyBorder="1" applyAlignment="1"/>
    <xf numFmtId="0" fontId="3" fillId="0" borderId="0" xfId="9" applyFont="1" applyFill="1"/>
    <xf numFmtId="0" fontId="2" fillId="0" borderId="0" xfId="13" applyFont="1" applyFill="1" applyBorder="1" applyAlignment="1"/>
    <xf numFmtId="0" fontId="2" fillId="0" borderId="0" xfId="13" applyFont="1" applyFill="1" applyBorder="1" applyAlignment="1">
      <alignment horizontal="center"/>
    </xf>
    <xf numFmtId="0" fontId="8" fillId="0" borderId="0" xfId="13" applyFill="1" applyBorder="1" applyAlignment="1">
      <alignment horizontal="center"/>
    </xf>
    <xf numFmtId="4" fontId="8" fillId="0" borderId="0" xfId="13" applyNumberFormat="1" applyFill="1" applyBorder="1" applyAlignment="1"/>
    <xf numFmtId="0" fontId="1" fillId="0" borderId="0" xfId="13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1"/>
    <cellStyle name="Обычный 3" xfId="2"/>
    <cellStyle name="Обычный 3 2" xfId="8"/>
    <cellStyle name="Обычный 3 3" xfId="7"/>
    <cellStyle name="Обычный 3 4" xfId="12"/>
    <cellStyle name="Обычный 4" xfId="4"/>
    <cellStyle name="Обычный 4 2" xfId="13"/>
    <cellStyle name="Обычный 5" xfId="5"/>
    <cellStyle name="Обычный 5 2" xfId="14"/>
    <cellStyle name="Обычный 6" xfId="9"/>
    <cellStyle name="Финансовый 2" xfId="6"/>
    <cellStyle name="Финансовый 2 2" xfId="15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5"/>
  <sheetViews>
    <sheetView tabSelected="1" view="pageBreakPreview" zoomScaleNormal="100" zoomScaleSheetLayoutView="100" workbookViewId="0">
      <selection activeCell="K80" sqref="K8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174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09"/>
      <c r="L8" s="172"/>
      <c r="M8" s="109"/>
      <c r="N8" s="109"/>
      <c r="O8" s="71" t="s">
        <v>81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09"/>
      <c r="L9" s="172"/>
      <c r="M9" s="109"/>
      <c r="N9" s="109"/>
      <c r="O9" s="71" t="s">
        <v>82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98416.24</v>
      </c>
      <c r="K10" s="109"/>
      <c r="L10" s="172"/>
      <c r="M10" s="109"/>
      <c r="N10" s="109"/>
      <c r="O10" s="71" t="s">
        <v>83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271944.09000000003</v>
      </c>
      <c r="K11" s="109"/>
      <c r="L11" s="172"/>
      <c r="M11" s="109"/>
      <c r="N11" s="109"/>
      <c r="O11" s="71" t="s">
        <v>84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128645.06000000003</v>
      </c>
      <c r="K12" s="109"/>
      <c r="L12" s="172"/>
      <c r="M12" s="109"/>
      <c r="N12" s="109"/>
      <c r="O12" s="71" t="s">
        <v>85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74490.600000000006</v>
      </c>
      <c r="K13" s="109"/>
      <c r="L13" s="172"/>
      <c r="M13" s="109"/>
      <c r="N13" s="109"/>
      <c r="O13" s="71" t="s">
        <v>86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68808.429999999978</v>
      </c>
      <c r="K14" s="109"/>
      <c r="L14" s="172"/>
      <c r="M14" s="109"/>
      <c r="N14" s="109"/>
      <c r="O14" s="71" t="s">
        <v>87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268035.35000000003</v>
      </c>
      <c r="K15" s="109"/>
      <c r="L15" s="172"/>
      <c r="M15" s="109"/>
      <c r="N15" s="109"/>
      <c r="O15" s="71" t="s">
        <v>88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268035.35000000003</v>
      </c>
      <c r="K16" s="109"/>
      <c r="L16" s="172"/>
      <c r="M16" s="109"/>
      <c r="N16" s="109"/>
      <c r="O16" s="71" t="s">
        <v>89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09"/>
      <c r="L17" s="172"/>
      <c r="M17" s="109"/>
      <c r="N17" s="109"/>
      <c r="O17" s="71" t="s">
        <v>90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09"/>
      <c r="L18" s="172"/>
      <c r="M18" s="109"/>
      <c r="N18" s="109"/>
      <c r="O18" s="71" t="s">
        <v>91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09"/>
      <c r="L19" s="172"/>
      <c r="M19" s="109"/>
      <c r="N19" s="109"/>
      <c r="O19" s="71" t="s">
        <v>92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09"/>
      <c r="L20" s="172"/>
      <c r="M20" s="109"/>
      <c r="N20" s="109"/>
      <c r="O20" s="71" t="s">
        <v>93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268035.35000000003</v>
      </c>
      <c r="K21" s="109"/>
      <c r="L21" s="172"/>
      <c r="M21" s="109"/>
      <c r="N21" s="109"/>
      <c r="O21" s="71" t="s">
        <v>94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09"/>
      <c r="L22" s="172"/>
      <c r="M22" s="109"/>
      <c r="N22" s="109"/>
      <c r="O22" s="71" t="s">
        <v>95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09"/>
      <c r="L23" s="172"/>
      <c r="M23" s="109"/>
      <c r="N23" s="109"/>
      <c r="O23" s="71" t="s">
        <v>96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102324.97999999998</v>
      </c>
      <c r="K24" s="109"/>
      <c r="L24" s="172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61">
        <f>VLOOKUP(A28,ПТО!$A$39:$D$53,2,FALSE)</f>
        <v>45377.760000000002</v>
      </c>
      <c r="G28" s="161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6" t="str">
        <f>ПТО!A40</f>
        <v>Работы (услуги) по управлению многоквартирным домом</v>
      </c>
      <c r="B29" s="156"/>
      <c r="C29" s="156"/>
      <c r="D29" s="156"/>
      <c r="E29" s="156"/>
      <c r="F29" s="161">
        <f>VLOOKUP(A29,ПТО!$A$39:$D$53,2,FALSE)</f>
        <v>68340</v>
      </c>
      <c r="G29" s="161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09"/>
      <c r="L29" s="173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61">
        <f>VLOOKUP(A30,ПТО!$A$39:$D$53,2,FALSE)</f>
        <v>29249.52</v>
      </c>
      <c r="G30" s="161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61">
        <f>VLOOKUP(A31,ПТО!$A$39:$D$53,2,FALSE)</f>
        <v>16401.599999999999</v>
      </c>
      <c r="G31" s="161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61">
        <f>VLOOKUP(A33,ПТО!$A$39:$D$53,2,FALSE)</f>
        <v>6970.68</v>
      </c>
      <c r="G33" s="161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61">
        <f>VLOOKUP(A34,ПТО!$A$39:$D$53,2,FALSE)</f>
        <v>28839.48</v>
      </c>
      <c r="G34" s="161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6">
        <f>ПТО!A46</f>
        <v>0</v>
      </c>
      <c r="B35" s="156"/>
      <c r="C35" s="156"/>
      <c r="D35" s="156"/>
      <c r="E35" s="156"/>
      <c r="F35" s="161" t="e">
        <f>VLOOKUP(A35,ПТО!$A$39:$D$53,2,FALSE)</f>
        <v>#N/A</v>
      </c>
      <c r="G35" s="161"/>
      <c r="H35" s="42" t="e">
        <f>VLOOKUP(A35,ПТО!$A$39:$D$53,3,FALSE)</f>
        <v>#N/A</v>
      </c>
      <c r="I35" s="157" t="e">
        <f>VLOOKUP(A35,ПТО!$A$39:$D$53,4,FALSE)</f>
        <v>#N/A</v>
      </c>
      <c r="J35" s="157"/>
      <c r="K35" s="109"/>
      <c r="L35" s="173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61" t="e">
        <f>VLOOKUP(A36,ПТО!$A$39:$D$53,2,FALSE)</f>
        <v>#N/A</v>
      </c>
      <c r="G36" s="161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09"/>
      <c r="L36" s="173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09"/>
      <c r="L37" s="173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09"/>
      <c r="L38" s="173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09"/>
      <c r="L39" s="173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09"/>
      <c r="L40" s="173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09"/>
      <c r="L41" s="173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09"/>
      <c r="L42" s="173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6" t="str">
        <f>ПТО!A2</f>
        <v>Техническое обслуживание охранной сигнализации.</v>
      </c>
      <c r="B43" s="156"/>
      <c r="C43" s="156"/>
      <c r="D43" s="156"/>
      <c r="E43" s="156"/>
      <c r="F43" s="161">
        <f>VLOOKUP(A43,ПТО!$A$2:$D$31,4,FALSE)</f>
        <v>5400</v>
      </c>
      <c r="G43" s="161"/>
      <c r="H43" s="19" t="str">
        <f>VLOOKUP(A43,ПТО!$A$2:$D$31,2,FALSE)</f>
        <v>ежемесячно</v>
      </c>
      <c r="I43" s="157">
        <f>VLOOKUP(A43,ПТО!$A$2:$D$31,3,FALSE)</f>
        <v>12</v>
      </c>
      <c r="J43" s="157"/>
      <c r="K43" s="109"/>
      <c r="L43" s="173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6" t="str">
        <f>ПТО!A3</f>
        <v>Приобретение и установка ОДПУ ХВС.</v>
      </c>
      <c r="B44" s="156"/>
      <c r="C44" s="156"/>
      <c r="D44" s="156"/>
      <c r="E44" s="156"/>
      <c r="F44" s="161">
        <f>VLOOKUP(A44,ПТО!$A$2:$D$31,4,FALSE)</f>
        <v>2035.72</v>
      </c>
      <c r="G44" s="161"/>
      <c r="H44" s="25" t="str">
        <f>VLOOKUP(A44,ПТО!$A$2:$D$31,2,FALSE)</f>
        <v>разово</v>
      </c>
      <c r="I44" s="157">
        <f>VLOOKUP(A44,ПТО!$A$2:$D$31,3,FALSE)</f>
        <v>1</v>
      </c>
      <c r="J44" s="157"/>
      <c r="K44" s="109"/>
      <c r="L44" s="173"/>
      <c r="M44" s="116"/>
      <c r="N44" s="109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6" t="str">
        <f>ПТО!A4</f>
        <v>Приобретение и установка таблички по пожарной безопасности.</v>
      </c>
      <c r="B45" s="156"/>
      <c r="C45" s="156"/>
      <c r="D45" s="156"/>
      <c r="E45" s="156"/>
      <c r="F45" s="161">
        <f>VLOOKUP(A45,ПТО!$A$2:$D$31,4,FALSE)</f>
        <v>250</v>
      </c>
      <c r="G45" s="161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09"/>
      <c r="L45" s="173"/>
      <c r="M45" s="116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6" t="str">
        <f>ПТО!A5</f>
        <v>Замена прибора учета электрической энергии.</v>
      </c>
      <c r="B46" s="156"/>
      <c r="C46" s="156"/>
      <c r="D46" s="156"/>
      <c r="E46" s="156"/>
      <c r="F46" s="161">
        <f>VLOOKUP(A46,ПТО!$A$2:$D$31,4,FALSE)</f>
        <v>14418</v>
      </c>
      <c r="G46" s="161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09"/>
      <c r="L46" s="173"/>
      <c r="M46" s="116"/>
      <c r="N46" s="109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56" t="str">
        <f>ПТО!A6</f>
        <v>Изготовление и установка газонного ограждения.</v>
      </c>
      <c r="B47" s="156"/>
      <c r="C47" s="156"/>
      <c r="D47" s="156"/>
      <c r="E47" s="156"/>
      <c r="F47" s="161">
        <f>VLOOKUP(A47,ПТО!$A$2:$D$31,4,FALSE)</f>
        <v>57500</v>
      </c>
      <c r="G47" s="161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09"/>
      <c r="L47" s="173"/>
      <c r="M47" s="116"/>
      <c r="N47" s="109"/>
      <c r="O47" s="23" t="str">
        <f t="shared" si="1"/>
        <v>Изготовление и установка газонного ограждения.</v>
      </c>
      <c r="R47" s="22" t="s">
        <v>72</v>
      </c>
    </row>
    <row r="48" spans="1:18" ht="51" customHeight="1" outlineLevel="1">
      <c r="A48" s="156" t="str">
        <f>ПТО!A7</f>
        <v>Приобретение профлиста для ограждения приямков.</v>
      </c>
      <c r="B48" s="156"/>
      <c r="C48" s="156"/>
      <c r="D48" s="156"/>
      <c r="E48" s="156"/>
      <c r="F48" s="161">
        <f>VLOOKUP(A48,ПТО!$A$2:$D$31,4,FALSE)</f>
        <v>6850</v>
      </c>
      <c r="G48" s="161"/>
      <c r="H48" s="25" t="str">
        <f>VLOOKUP(A48,ПТО!$A$2:$D$31,2,FALSE)</f>
        <v>разово</v>
      </c>
      <c r="I48" s="157">
        <f>VLOOKUP(A48,ПТО!$A$2:$D$31,3,FALSE)</f>
        <v>1</v>
      </c>
      <c r="J48" s="157"/>
      <c r="K48" s="109"/>
      <c r="L48" s="173"/>
      <c r="M48" s="116"/>
      <c r="N48" s="109"/>
      <c r="O48" s="23" t="str">
        <f t="shared" si="1"/>
        <v>Приобретение профлиста для ограждения приямков.</v>
      </c>
      <c r="R48" s="22" t="s">
        <v>72</v>
      </c>
    </row>
    <row r="49" spans="1:18" ht="51" hidden="1" customHeight="1" outlineLevel="1">
      <c r="A49" s="156">
        <f>ПТО!A8</f>
        <v>0</v>
      </c>
      <c r="B49" s="156"/>
      <c r="C49" s="156"/>
      <c r="D49" s="156"/>
      <c r="E49" s="156"/>
      <c r="F49" s="161" t="e">
        <f>VLOOKUP(A49,ПТО!$A$2:$D$31,4,FALSE)</f>
        <v>#N/A</v>
      </c>
      <c r="G49" s="161"/>
      <c r="H49" s="25" t="e">
        <f>VLOOKUP(A49,ПТО!$A$2:$D$31,2,FALSE)</f>
        <v>#N/A</v>
      </c>
      <c r="I49" s="157" t="e">
        <f>VLOOKUP(A49,ПТО!$A$2:$D$31,3,FALSE)</f>
        <v>#N/A</v>
      </c>
      <c r="J49" s="157"/>
      <c r="K49" s="109"/>
      <c r="L49" s="173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6">
        <f>ПТО!A9</f>
        <v>0</v>
      </c>
      <c r="B50" s="156"/>
      <c r="C50" s="156"/>
      <c r="D50" s="156"/>
      <c r="E50" s="156"/>
      <c r="F50" s="161" t="e">
        <f>VLOOKUP(A50,ПТО!$A$2:$D$31,4,FALSE)</f>
        <v>#N/A</v>
      </c>
      <c r="G50" s="161"/>
      <c r="H50" s="25" t="e">
        <f>VLOOKUP(A50,ПТО!$A$2:$D$31,2,FALSE)</f>
        <v>#N/A</v>
      </c>
      <c r="I50" s="157" t="e">
        <f>VLOOKUP(A50,ПТО!$A$2:$D$31,3,FALSE)</f>
        <v>#N/A</v>
      </c>
      <c r="J50" s="157"/>
      <c r="K50" s="109"/>
      <c r="L50" s="173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6">
        <f>ПТО!A10</f>
        <v>0</v>
      </c>
      <c r="B51" s="156"/>
      <c r="C51" s="156"/>
      <c r="D51" s="156"/>
      <c r="E51" s="156"/>
      <c r="F51" s="161" t="e">
        <f>VLOOKUP(A51,ПТО!$A$2:$D$31,4,FALSE)</f>
        <v>#N/A</v>
      </c>
      <c r="G51" s="161"/>
      <c r="H51" s="25" t="e">
        <f>VLOOKUP(A51,ПТО!$A$2:$D$31,2,FALSE)</f>
        <v>#N/A</v>
      </c>
      <c r="I51" s="157" t="e">
        <f>VLOOKUP(A51,ПТО!$A$2:$D$31,3,FALSE)</f>
        <v>#N/A</v>
      </c>
      <c r="J51" s="157"/>
      <c r="K51" s="109"/>
      <c r="L51" s="173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6">
        <f>ПТО!A11</f>
        <v>0</v>
      </c>
      <c r="B52" s="156"/>
      <c r="C52" s="156"/>
      <c r="D52" s="156"/>
      <c r="E52" s="156"/>
      <c r="F52" s="161" t="e">
        <f>VLOOKUP(A52,ПТО!$A$2:$D$31,4,FALSE)</f>
        <v>#N/A</v>
      </c>
      <c r="G52" s="161"/>
      <c r="H52" s="25" t="e">
        <f>VLOOKUP(A52,ПТО!$A$2:$D$31,2,FALSE)</f>
        <v>#N/A</v>
      </c>
      <c r="I52" s="157" t="e">
        <f>VLOOKUP(A52,ПТО!$A$2:$D$31,3,FALSE)</f>
        <v>#N/A</v>
      </c>
      <c r="J52" s="157"/>
      <c r="K52" s="109"/>
      <c r="L52" s="173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6">
        <f>ПТО!A12</f>
        <v>0</v>
      </c>
      <c r="B53" s="156"/>
      <c r="C53" s="156"/>
      <c r="D53" s="156"/>
      <c r="E53" s="156"/>
      <c r="F53" s="161" t="e">
        <f>VLOOKUP(A53,ПТО!$A$2:$D$31,4,FALSE)</f>
        <v>#N/A</v>
      </c>
      <c r="G53" s="161"/>
      <c r="H53" s="25" t="e">
        <f>VLOOKUP(A53,ПТО!$A$2:$D$31,2,FALSE)</f>
        <v>#N/A</v>
      </c>
      <c r="I53" s="157" t="e">
        <f>VLOOKUP(A53,ПТО!$A$2:$D$31,3,FALSE)</f>
        <v>#N/A</v>
      </c>
      <c r="J53" s="157"/>
      <c r="K53" s="109"/>
      <c r="L53" s="173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61" t="e">
        <f>VLOOKUP(A54,ПТО!$A$2:$D$31,4,FALSE)</f>
        <v>#N/A</v>
      </c>
      <c r="G54" s="161"/>
      <c r="H54" s="25" t="e">
        <f>VLOOKUP(A54,ПТО!$A$2:$D$31,2,FALSE)</f>
        <v>#N/A</v>
      </c>
      <c r="I54" s="157" t="e">
        <f>VLOOKUP(A54,ПТО!$A$2:$D$31,3,FALSE)</f>
        <v>#N/A</v>
      </c>
      <c r="J54" s="157"/>
      <c r="K54" s="109"/>
      <c r="L54" s="173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09"/>
      <c r="L55" s="173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09"/>
      <c r="L56" s="173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09"/>
      <c r="L57" s="173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09"/>
      <c r="L58" s="173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09"/>
      <c r="L59" s="173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09"/>
      <c r="L60" s="173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09"/>
      <c r="L61" s="173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09"/>
      <c r="L62" s="173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09"/>
      <c r="L63" s="173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09"/>
      <c r="L64" s="173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09"/>
      <c r="L65" s="173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09"/>
      <c r="L66" s="173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09"/>
      <c r="L67" s="173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09"/>
      <c r="L68" s="173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09"/>
      <c r="L69" s="173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09"/>
      <c r="L70" s="173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09"/>
      <c r="L72" s="173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4" t="s">
        <v>27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09"/>
      <c r="L75" s="176"/>
      <c r="M75" s="109"/>
      <c r="N75" s="109"/>
      <c r="O75" s="71" t="s">
        <v>98</v>
      </c>
    </row>
    <row r="76" spans="1:16384" ht="18.75" customHeight="1" outlineLevel="1">
      <c r="A76" s="174" t="s">
        <v>28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09"/>
      <c r="L76" s="176"/>
      <c r="M76" s="109"/>
      <c r="N76" s="109"/>
      <c r="O76" s="71" t="s">
        <v>99</v>
      </c>
    </row>
    <row r="77" spans="1:16384" ht="21.75" customHeight="1" outlineLevel="1">
      <c r="A77" s="174" t="s">
        <v>29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09"/>
      <c r="L77" s="176"/>
      <c r="M77" s="109"/>
      <c r="N77" s="109"/>
      <c r="O77" s="71" t="s">
        <v>100</v>
      </c>
    </row>
    <row r="78" spans="1:16384" ht="18.75" customHeight="1" outlineLevel="1">
      <c r="A78" s="174" t="s">
        <v>30</v>
      </c>
      <c r="B78" s="174"/>
      <c r="C78" s="174"/>
      <c r="D78" s="174"/>
      <c r="E78" s="174"/>
      <c r="F78" s="174"/>
      <c r="G78" s="174"/>
      <c r="H78" s="174"/>
      <c r="I78" s="174"/>
      <c r="J78" s="98">
        <f>VLOOKUP(O78,АО,3,FALSE)</f>
        <v>0</v>
      </c>
      <c r="K78" s="109"/>
      <c r="L78" s="176"/>
      <c r="M78" s="109"/>
      <c r="N78" s="109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8">
        <f t="shared" ref="J81:J90" si="2">VLOOKUP(O81,АО,3,FALSE)</f>
        <v>0</v>
      </c>
      <c r="K81" s="109"/>
      <c r="L81" s="162"/>
      <c r="M81" s="109"/>
      <c r="N81" s="109"/>
      <c r="O81" s="71" t="s">
        <v>102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8">
        <f t="shared" si="2"/>
        <v>0</v>
      </c>
      <c r="K82" s="109"/>
      <c r="L82" s="162"/>
      <c r="M82" s="109"/>
      <c r="N82" s="109"/>
      <c r="O82" s="71" t="s">
        <v>103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8">
        <f t="shared" si="2"/>
        <v>16289.92</v>
      </c>
      <c r="K83" s="109"/>
      <c r="L83" s="162"/>
      <c r="M83" s="109"/>
      <c r="N83" s="109"/>
      <c r="O83" s="71" t="s">
        <v>104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8">
        <f t="shared" si="2"/>
        <v>0</v>
      </c>
      <c r="K84" s="109"/>
      <c r="L84" s="162"/>
      <c r="M84" s="109"/>
      <c r="N84" s="109"/>
      <c r="O84" s="71" t="s">
        <v>105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8">
        <f t="shared" si="2"/>
        <v>0</v>
      </c>
      <c r="K85" s="109"/>
      <c r="L85" s="162"/>
      <c r="M85" s="109"/>
      <c r="N85" s="109"/>
      <c r="O85" s="71" t="s">
        <v>106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8">
        <f t="shared" si="2"/>
        <v>376.07999999999402</v>
      </c>
      <c r="K86" s="109"/>
      <c r="L86" s="162"/>
      <c r="M86" s="109"/>
      <c r="N86" s="109"/>
      <c r="O86" s="71" t="s">
        <v>107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9"/>
      <c r="L87" s="162"/>
      <c r="M87" s="109"/>
      <c r="N87" s="109"/>
      <c r="O87" s="71" t="s">
        <v>108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9"/>
      <c r="L88" s="162"/>
      <c r="M88" s="109"/>
      <c r="N88" s="109"/>
      <c r="O88" s="71" t="s">
        <v>109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9"/>
      <c r="L89" s="162"/>
      <c r="M89" s="109"/>
      <c r="N89" s="109"/>
      <c r="O89" s="71" t="s">
        <v>110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8">
        <f t="shared" si="2"/>
        <v>0</v>
      </c>
      <c r="K90" s="109"/>
      <c r="L90" s="162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7" t="s">
        <v>48</v>
      </c>
      <c r="B93" s="177"/>
      <c r="C93" s="177"/>
      <c r="D93" s="178" t="s">
        <v>49</v>
      </c>
      <c r="E93" s="178"/>
      <c r="F93" s="10" t="s">
        <v>50</v>
      </c>
      <c r="G93" s="177" t="s">
        <v>51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60">
        <f>VLOOKUP("эл",АО,5,FALSE)</f>
        <v>20475.189999999995</v>
      </c>
      <c r="H94" s="159"/>
      <c r="I94" s="159"/>
      <c r="J94" s="159"/>
      <c r="K94" s="1" t="str">
        <f>VLOOKUP("эл",АО,2,FALSE)</f>
        <v>Электроснабжение</v>
      </c>
      <c r="L94" s="163"/>
    </row>
    <row r="95" spans="1:15" outlineLevel="2">
      <c r="A95" s="175" t="str">
        <f>IF(VLOOKUP("эл",АО,3,FALSE)&gt;0,VLOOKUP("эл1",АО,2,FALSE),0)</f>
        <v>Общий объем потребления, нат. показ.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17960.692982456138</v>
      </c>
      <c r="L95" s="163"/>
      <c r="O95" s="1" t="s">
        <v>112</v>
      </c>
    </row>
    <row r="96" spans="1:15" outlineLevel="2">
      <c r="A96" s="175" t="str">
        <f>IF(VLOOKUP("эл",АО,3,FALSE)&gt;0,VLOOKUP("эл2",АО,2,FALSE),0)</f>
        <v>Оплачено потребителями, руб.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19972.27</v>
      </c>
      <c r="L96" s="163"/>
      <c r="O96" s="1" t="s">
        <v>113</v>
      </c>
    </row>
    <row r="97" spans="1:15" outlineLevel="2">
      <c r="A97" s="175" t="str">
        <f>IF(VLOOKUP("эл",АО,3,FALSE)&gt;0,VLOOKUP("эл3",АО,2,FALSE),0)</f>
        <v>Задолженность потребителей, руб.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502.91999999999462</v>
      </c>
      <c r="L97" s="163"/>
      <c r="O97" s="1" t="s">
        <v>114</v>
      </c>
    </row>
    <row r="98" spans="1:15" ht="37.5" customHeight="1" outlineLevel="2">
      <c r="A98" s="175" t="str">
        <f>IF(VLOOKUP("эл",АО,3,FALSE)&gt;0,VLOOKUP("эл4",АО,2,FALSE),0)</f>
        <v>Начислено поставщиком (поставщиками) коммунального ресурса, руб.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20475.189999999995</v>
      </c>
      <c r="L98" s="163"/>
      <c r="O98" s="1" t="s">
        <v>115</v>
      </c>
    </row>
    <row r="99" spans="1:15" outlineLevel="2">
      <c r="A99" s="175" t="str">
        <f>IF(VLOOKUP("эл",АО,3,FALSE)&gt;0,VLOOKUP("эл5",АО,2,FALSE),0)</f>
        <v>Оплачено поставщику (поставщикам) коммунального ресурса, руб.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20475.189999999995</v>
      </c>
      <c r="L99" s="163"/>
      <c r="O99" s="1" t="s">
        <v>116</v>
      </c>
    </row>
    <row r="100" spans="1:15" ht="39" customHeight="1" outlineLevel="2">
      <c r="A100" s="17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63"/>
      <c r="O100" s="1" t="s">
        <v>117</v>
      </c>
    </row>
    <row r="101" spans="1:15" ht="34.5" customHeight="1" outlineLevel="2">
      <c r="A101" s="17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63"/>
      <c r="O101" s="1" t="s">
        <v>118</v>
      </c>
    </row>
    <row r="102" spans="1:15" ht="28.5" hidden="1" customHeight="1" outlineLevel="1">
      <c r="A102" s="158">
        <f>IF(VLOOKUP("хвс",АО,3,FALSE)&gt;0,"Холодное водоснабжение",0)</f>
        <v>0</v>
      </c>
      <c r="B102" s="158"/>
      <c r="C102" s="158"/>
      <c r="D102" s="159">
        <f>IF(VLOOKUP("хвс",АО,3,FALSE)&gt;0,VLOOKUP("хвс",АО,3,FALSE),0)</f>
        <v>0</v>
      </c>
      <c r="E102" s="159"/>
      <c r="F102" s="13">
        <f>IF(VLOOKUP("хвс",АО,3,FALSE)&gt;0,VLOOKUP("хвс",АО,4,FALSE),0)</f>
        <v>0</v>
      </c>
      <c r="G102" s="160">
        <f>VLOOKUP("хвс",АО,5,FALSE)</f>
        <v>0</v>
      </c>
      <c r="H102" s="159"/>
      <c r="I102" s="159"/>
      <c r="J102" s="159"/>
      <c r="L102" s="163"/>
    </row>
    <row r="103" spans="1:15" hidden="1" outlineLevel="2">
      <c r="A103" s="175">
        <f t="shared" ref="A103:A109" si="4">IF(VLOOKUP("хвс",АО,3,FALSE)&gt;0,VLOOKUP(O103,АО,2,FALSE),0)</f>
        <v>0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0</v>
      </c>
      <c r="L103" s="163"/>
      <c r="O103" s="1" t="s">
        <v>121</v>
      </c>
    </row>
    <row r="104" spans="1:15" ht="18.75" hidden="1" customHeight="1" outlineLevel="2">
      <c r="A104" s="175">
        <f t="shared" si="4"/>
        <v>0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7286.8900000000012</v>
      </c>
      <c r="L104" s="163"/>
      <c r="O104" s="1" t="s">
        <v>122</v>
      </c>
    </row>
    <row r="105" spans="1:15" ht="18.75" hidden="1" customHeight="1" outlineLevel="2">
      <c r="A105" s="175">
        <f t="shared" si="4"/>
        <v>0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0</v>
      </c>
      <c r="L105" s="163"/>
      <c r="O105" s="1" t="s">
        <v>123</v>
      </c>
    </row>
    <row r="106" spans="1:15" ht="36.75" hidden="1" customHeight="1" outlineLevel="2">
      <c r="A106" s="175">
        <f t="shared" si="4"/>
        <v>0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0</v>
      </c>
      <c r="L106" s="163"/>
      <c r="O106" s="1" t="s">
        <v>124</v>
      </c>
    </row>
    <row r="107" spans="1:15" ht="18.75" hidden="1" customHeight="1" outlineLevel="2">
      <c r="A107" s="175">
        <f t="shared" si="4"/>
        <v>0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0</v>
      </c>
      <c r="L107" s="163"/>
      <c r="O107" s="1" t="s">
        <v>125</v>
      </c>
    </row>
    <row r="108" spans="1:15" ht="37.5" hidden="1" customHeight="1" outlineLevel="2">
      <c r="A108" s="175">
        <f t="shared" si="4"/>
        <v>0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63"/>
      <c r="O108" s="1" t="s">
        <v>126</v>
      </c>
    </row>
    <row r="109" spans="1:15" ht="39.75" hidden="1" customHeight="1" outlineLevel="2">
      <c r="A109" s="175">
        <f t="shared" si="4"/>
        <v>0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63"/>
      <c r="O109" s="1" t="s">
        <v>127</v>
      </c>
    </row>
    <row r="110" spans="1:15" ht="27" hidden="1" customHeight="1" outlineLevel="1">
      <c r="A110" s="158">
        <f>IF(VLOOKUP("воо",АО,3,FALSE)&gt;0,"Водоотведение",0)</f>
        <v>0</v>
      </c>
      <c r="B110" s="158"/>
      <c r="C110" s="158"/>
      <c r="D110" s="159">
        <f>IF(VLOOKUP("воо",АО,3,FALSE)&gt;0,VLOOKUP("воо",АО,3,FALSE),0)</f>
        <v>0</v>
      </c>
      <c r="E110" s="159"/>
      <c r="F110" s="13">
        <f>IF(VLOOKUP("воо",АО,3,FALSE)&gt;0,VLOOKUP("воо",АО,4,FALSE),0)</f>
        <v>0</v>
      </c>
      <c r="G110" s="160">
        <f>VLOOKUP("воо",АО,5,FALSE)</f>
        <v>0</v>
      </c>
      <c r="H110" s="159"/>
      <c r="I110" s="159"/>
      <c r="J110" s="159"/>
      <c r="L110" s="163"/>
    </row>
    <row r="111" spans="1:15" hidden="1" outlineLevel="2">
      <c r="A111" s="154">
        <f t="shared" ref="A111:A117" si="6">IF(VLOOKUP("воо",АО,3,FALSE)&gt;0,VLOOKUP(O111,АО,2,FALSE),0)</f>
        <v>0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0</v>
      </c>
      <c r="L111" s="163"/>
      <c r="O111" s="1" t="s">
        <v>129</v>
      </c>
    </row>
    <row r="112" spans="1:15" ht="18.75" hidden="1" customHeight="1" outlineLevel="2">
      <c r="A112" s="154">
        <f t="shared" si="6"/>
        <v>0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7625.52</v>
      </c>
      <c r="L112" s="163"/>
      <c r="O112" s="1" t="s">
        <v>130</v>
      </c>
    </row>
    <row r="113" spans="1:15" ht="19.5" hidden="1" customHeight="1" outlineLevel="2">
      <c r="A113" s="154">
        <f t="shared" si="6"/>
        <v>0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63"/>
      <c r="O113" s="1" t="s">
        <v>131</v>
      </c>
    </row>
    <row r="114" spans="1:15" ht="33" hidden="1" customHeight="1" outlineLevel="2">
      <c r="A114" s="154">
        <f t="shared" si="6"/>
        <v>0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0</v>
      </c>
      <c r="L114" s="163"/>
      <c r="O114" s="1" t="s">
        <v>132</v>
      </c>
    </row>
    <row r="115" spans="1:15" ht="18.75" hidden="1" customHeight="1" outlineLevel="2">
      <c r="A115" s="154">
        <f t="shared" si="6"/>
        <v>0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0</v>
      </c>
      <c r="L115" s="163"/>
      <c r="O115" s="1" t="s">
        <v>133</v>
      </c>
    </row>
    <row r="116" spans="1:15" ht="33.75" hidden="1" customHeight="1" outlineLevel="2">
      <c r="A116" s="154">
        <f t="shared" si="6"/>
        <v>0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63"/>
      <c r="O116" s="1" t="s">
        <v>134</v>
      </c>
    </row>
    <row r="117" spans="1:15" ht="32.25" hidden="1" customHeight="1" outlineLevel="2">
      <c r="A117" s="154">
        <f t="shared" si="6"/>
        <v>0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63"/>
      <c r="O117" s="1" t="s">
        <v>135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9">
        <f>IF(VLOOKUP("тко",АО,3,FALSE)&gt;0,VLOOKUP("тко",АО,3,FALSE),0)</f>
        <v>0</v>
      </c>
      <c r="E118" s="159"/>
      <c r="F118" s="13">
        <f>IF(VLOOKUP("тко",АО,3,FALSE)&gt;0,VLOOKUP("тко",АО,4,FALSE),0)</f>
        <v>0</v>
      </c>
      <c r="G118" s="160">
        <f>VLOOKUP("тко",АО,5,FALSE)</f>
        <v>0</v>
      </c>
      <c r="H118" s="159"/>
      <c r="I118" s="159"/>
      <c r="J118" s="159"/>
      <c r="L118" s="48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1901.0900000000001</v>
      </c>
      <c r="L120" s="48"/>
      <c r="O120" s="1" t="s">
        <v>138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60">
        <f>VLOOKUP("гвс",АО,5,FALSE)</f>
        <v>0</v>
      </c>
      <c r="H126" s="159"/>
      <c r="I126" s="159"/>
      <c r="J126" s="159"/>
      <c r="L126" s="48"/>
    </row>
    <row r="127" spans="1:15" ht="32.25" hidden="1" customHeight="1" outlineLevel="2">
      <c r="A127" s="154">
        <f t="shared" ref="A127:A133" si="10">IF(VLOOKUP("гвс",АО,3,FALSE)&gt;0,VLOOKUP(O127,АО,2,FALSE),0)</f>
        <v>0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4">
        <f t="shared" si="10"/>
        <v>0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4">
        <f t="shared" si="10"/>
        <v>0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4">
        <f t="shared" si="10"/>
        <v>0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4">
        <f t="shared" si="10"/>
        <v>0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4">
        <f t="shared" si="10"/>
        <v>0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4">
        <f t="shared" si="10"/>
        <v>0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59"/>
      <c r="I134" s="159"/>
      <c r="J134" s="159"/>
      <c r="L134" s="48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169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4" t="s">
        <v>172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0</v>
      </c>
      <c r="O146" t="s">
        <v>171</v>
      </c>
    </row>
    <row r="149" spans="1:15" ht="52.5" customHeight="1">
      <c r="A149" s="179" t="s">
        <v>180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1" t="s">
        <v>183</v>
      </c>
      <c r="B154" s="181"/>
      <c r="C154" s="181"/>
      <c r="D154" s="181"/>
      <c r="E154" s="27">
        <f>ПТО!G1</f>
        <v>-20637.45</v>
      </c>
    </row>
    <row r="155" spans="1:15" ht="34.5" customHeight="1">
      <c r="A155" s="180" t="s">
        <v>187</v>
      </c>
      <c r="B155" s="180"/>
      <c r="C155" s="180"/>
      <c r="D155" s="180"/>
      <c r="E155" s="28">
        <f>J13</f>
        <v>74490.600000000006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6" t="str">
        <f t="shared" ref="A158:A163" si="14">IF(N158&gt;0,N158,0)</f>
        <v>Техническое обслуживание охранной сигнализации.</v>
      </c>
      <c r="B158" s="156"/>
      <c r="C158" s="156"/>
      <c r="D158" s="156"/>
      <c r="E158" s="156"/>
      <c r="F158" s="161">
        <f t="shared" ref="F158:F163" si="15">IF(ISERROR(VLOOKUP(A158,$A$28:$J$72,6,FALSE)),0,VLOOKUP(A158,$A$28:$J$72,6,FALSE))</f>
        <v>5400</v>
      </c>
      <c r="G158" s="161"/>
      <c r="H158" s="24" t="str">
        <f t="shared" ref="H158:H187" si="16">VLOOKUP(A158,$A$28:$J$72,8,FALSE)</f>
        <v>ежемесячно</v>
      </c>
      <c r="I158" s="157">
        <f t="shared" ref="I158:I161" si="17">VLOOKUP(A158,$A$28:$J$72,9,FALSE)</f>
        <v>12</v>
      </c>
      <c r="J158" s="15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6" t="str">
        <f t="shared" si="14"/>
        <v>Приобретение и установка ОДПУ ХВС.</v>
      </c>
      <c r="B159" s="156"/>
      <c r="C159" s="156"/>
      <c r="D159" s="156"/>
      <c r="E159" s="156"/>
      <c r="F159" s="161">
        <f t="shared" si="15"/>
        <v>2035.72</v>
      </c>
      <c r="G159" s="161"/>
      <c r="H159" s="24" t="str">
        <f t="shared" si="16"/>
        <v>разово</v>
      </c>
      <c r="I159" s="157">
        <f t="shared" si="17"/>
        <v>1</v>
      </c>
      <c r="J159" s="157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6" t="str">
        <f t="shared" si="14"/>
        <v>Приобретение и установка таблички по пожарной безопасности.</v>
      </c>
      <c r="B160" s="156"/>
      <c r="C160" s="156"/>
      <c r="D160" s="156"/>
      <c r="E160" s="156"/>
      <c r="F160" s="161">
        <f t="shared" si="15"/>
        <v>250</v>
      </c>
      <c r="G160" s="161"/>
      <c r="H160" s="24" t="str">
        <f t="shared" si="16"/>
        <v>разово</v>
      </c>
      <c r="I160" s="157">
        <f t="shared" si="17"/>
        <v>1</v>
      </c>
      <c r="J160" s="157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6" t="str">
        <f>IF(N161&gt;0,N161,0)</f>
        <v>Замена прибора учета электрической энергии.</v>
      </c>
      <c r="B161" s="156"/>
      <c r="C161" s="156"/>
      <c r="D161" s="156"/>
      <c r="E161" s="156"/>
      <c r="F161" s="161">
        <f t="shared" si="15"/>
        <v>14418</v>
      </c>
      <c r="G161" s="161"/>
      <c r="H161" s="24" t="str">
        <f t="shared" si="16"/>
        <v>разово</v>
      </c>
      <c r="I161" s="157">
        <f t="shared" si="17"/>
        <v>1</v>
      </c>
      <c r="J161" s="157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56" t="str">
        <f t="shared" si="14"/>
        <v>Изготовление и установка газонного ограждения.</v>
      </c>
      <c r="B162" s="156"/>
      <c r="C162" s="156"/>
      <c r="D162" s="156"/>
      <c r="E162" s="156"/>
      <c r="F162" s="161">
        <f t="shared" si="15"/>
        <v>57500</v>
      </c>
      <c r="G162" s="161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72</v>
      </c>
      <c r="N162" s="1" t="str">
        <v>Изготовление и установка газонного ограждения.</v>
      </c>
    </row>
    <row r="163" spans="1:14" ht="28.5" customHeight="1">
      <c r="A163" s="156" t="str">
        <f t="shared" si="14"/>
        <v>Приобретение профлиста для ограждения приямков.</v>
      </c>
      <c r="B163" s="156"/>
      <c r="C163" s="156"/>
      <c r="D163" s="156"/>
      <c r="E163" s="156"/>
      <c r="F163" s="161">
        <f t="shared" si="15"/>
        <v>6850</v>
      </c>
      <c r="G163" s="161"/>
      <c r="H163" s="24" t="str">
        <f t="shared" si="16"/>
        <v>разово</v>
      </c>
      <c r="I163" s="157">
        <f>VLOOKUP(A163,$A$28:$J$72,9,FALSE)</f>
        <v>1</v>
      </c>
      <c r="J163" s="157"/>
      <c r="M163" s="22" t="s">
        <v>72</v>
      </c>
      <c r="N163" s="1" t="str">
        <v>Приобретение профлиста для ограждения приямков.</v>
      </c>
    </row>
    <row r="164" spans="1:14" ht="28.5" hidden="1" customHeight="1">
      <c r="A164" s="156">
        <f t="shared" ref="A164:A187" si="18">IF(N164&gt;0,N164,0)</f>
        <v>0</v>
      </c>
      <c r="B164" s="156"/>
      <c r="C164" s="156"/>
      <c r="D164" s="156"/>
      <c r="E164" s="156"/>
      <c r="F164" s="161">
        <f t="shared" ref="F164:F187" si="19">IF(ISERROR(VLOOKUP(A164,$A$28:$J$72,6,FALSE)),0,VLOOKUP(A164,$A$28:$J$72,6,FALSE))</f>
        <v>0</v>
      </c>
      <c r="G164" s="161"/>
      <c r="H164" s="29" t="e">
        <f t="shared" si="16"/>
        <v>#N/A</v>
      </c>
      <c r="I164" s="157" t="e">
        <f t="shared" ref="I164:I187" si="20">VLOOKUP(A164,$A$28:$J$72,9,FALSE)</f>
        <v>#N/A</v>
      </c>
      <c r="J164" s="157"/>
      <c r="M164" s="22" t="s">
        <v>72</v>
      </c>
      <c r="N164" s="1">
        <v>0</v>
      </c>
    </row>
    <row r="165" spans="1:14" ht="28.5" hidden="1" customHeight="1">
      <c r="A165" s="156">
        <f t="shared" si="18"/>
        <v>0</v>
      </c>
      <c r="B165" s="156"/>
      <c r="C165" s="156"/>
      <c r="D165" s="156"/>
      <c r="E165" s="156"/>
      <c r="F165" s="161">
        <f t="shared" si="19"/>
        <v>0</v>
      </c>
      <c r="G165" s="161"/>
      <c r="H165" s="29" t="e">
        <f t="shared" si="16"/>
        <v>#N/A</v>
      </c>
      <c r="I165" s="157" t="e">
        <f t="shared" si="20"/>
        <v>#N/A</v>
      </c>
      <c r="J165" s="157"/>
      <c r="M165" s="22" t="s">
        <v>72</v>
      </c>
      <c r="N165" s="1">
        <v>0</v>
      </c>
    </row>
    <row r="166" spans="1:14" ht="28.5" hidden="1" customHeight="1">
      <c r="A166" s="156">
        <f t="shared" si="18"/>
        <v>0</v>
      </c>
      <c r="B166" s="156"/>
      <c r="C166" s="156"/>
      <c r="D166" s="156"/>
      <c r="E166" s="156"/>
      <c r="F166" s="161">
        <f t="shared" si="19"/>
        <v>0</v>
      </c>
      <c r="G166" s="161"/>
      <c r="H166" s="29" t="e">
        <f t="shared" si="16"/>
        <v>#N/A</v>
      </c>
      <c r="I166" s="157" t="e">
        <f t="shared" si="20"/>
        <v>#N/A</v>
      </c>
      <c r="J166" s="157"/>
      <c r="M166" s="22" t="s">
        <v>72</v>
      </c>
      <c r="N166" s="1">
        <v>0</v>
      </c>
    </row>
    <row r="167" spans="1:14" ht="28.5" hidden="1" customHeight="1">
      <c r="A167" s="156">
        <f t="shared" si="18"/>
        <v>0</v>
      </c>
      <c r="B167" s="156"/>
      <c r="C167" s="156"/>
      <c r="D167" s="156"/>
      <c r="E167" s="156"/>
      <c r="F167" s="161">
        <f t="shared" si="19"/>
        <v>0</v>
      </c>
      <c r="G167" s="161"/>
      <c r="H167" s="29" t="e">
        <f t="shared" si="16"/>
        <v>#N/A</v>
      </c>
      <c r="I167" s="157" t="e">
        <f t="shared" si="20"/>
        <v>#N/A</v>
      </c>
      <c r="J167" s="157"/>
      <c r="M167" s="22" t="s">
        <v>72</v>
      </c>
      <c r="N167" s="1">
        <v>0</v>
      </c>
    </row>
    <row r="168" spans="1:14" ht="28.5" hidden="1" customHeight="1">
      <c r="A168" s="156">
        <f t="shared" si="18"/>
        <v>0</v>
      </c>
      <c r="B168" s="156"/>
      <c r="C168" s="156"/>
      <c r="D168" s="156"/>
      <c r="E168" s="156"/>
      <c r="F168" s="161">
        <f t="shared" si="19"/>
        <v>0</v>
      </c>
      <c r="G168" s="161"/>
      <c r="H168" s="29" t="e">
        <f t="shared" si="16"/>
        <v>#N/A</v>
      </c>
      <c r="I168" s="157" t="e">
        <f t="shared" si="20"/>
        <v>#N/A</v>
      </c>
      <c r="J168" s="157"/>
      <c r="M168" s="22" t="s">
        <v>72</v>
      </c>
      <c r="N168" s="1">
        <v>0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61">
        <f t="shared" si="19"/>
        <v>0</v>
      </c>
      <c r="G169" s="161"/>
      <c r="H169" s="29" t="e">
        <f t="shared" si="16"/>
        <v>#N/A</v>
      </c>
      <c r="I169" s="157" t="e">
        <f t="shared" si="20"/>
        <v>#N/A</v>
      </c>
      <c r="J169" s="157"/>
      <c r="M169" s="22" t="s">
        <v>72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61">
        <f t="shared" si="19"/>
        <v>0</v>
      </c>
      <c r="G170" s="161"/>
      <c r="H170" s="29" t="e">
        <f t="shared" si="16"/>
        <v>#N/A</v>
      </c>
      <c r="I170" s="157" t="e">
        <f t="shared" si="20"/>
        <v>#N/A</v>
      </c>
      <c r="J170" s="157"/>
      <c r="M170" s="22" t="s">
        <v>72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61">
        <f t="shared" si="19"/>
        <v>0</v>
      </c>
      <c r="G171" s="161"/>
      <c r="H171" s="29" t="e">
        <f t="shared" si="16"/>
        <v>#N/A</v>
      </c>
      <c r="I171" s="157" t="e">
        <f t="shared" si="20"/>
        <v>#N/A</v>
      </c>
      <c r="J171" s="157"/>
      <c r="M171" s="22" t="s">
        <v>72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61">
        <f t="shared" si="19"/>
        <v>0</v>
      </c>
      <c r="G172" s="161"/>
      <c r="H172" s="29" t="e">
        <f t="shared" si="16"/>
        <v>#N/A</v>
      </c>
      <c r="I172" s="157" t="e">
        <f t="shared" si="20"/>
        <v>#N/A</v>
      </c>
      <c r="J172" s="157"/>
      <c r="M172" s="22" t="s">
        <v>72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61">
        <f t="shared" si="19"/>
        <v>0</v>
      </c>
      <c r="G173" s="161"/>
      <c r="H173" s="29" t="e">
        <f t="shared" si="16"/>
        <v>#N/A</v>
      </c>
      <c r="I173" s="157" t="e">
        <f t="shared" si="20"/>
        <v>#N/A</v>
      </c>
      <c r="J173" s="157"/>
      <c r="M173" s="22" t="s">
        <v>72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61">
        <f t="shared" si="19"/>
        <v>0</v>
      </c>
      <c r="G174" s="161"/>
      <c r="H174" s="29" t="e">
        <f t="shared" si="16"/>
        <v>#N/A</v>
      </c>
      <c r="I174" s="157" t="e">
        <f t="shared" si="20"/>
        <v>#N/A</v>
      </c>
      <c r="J174" s="157"/>
      <c r="M174" s="22" t="s">
        <v>72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61">
        <f t="shared" si="19"/>
        <v>0</v>
      </c>
      <c r="G175" s="161"/>
      <c r="H175" s="29" t="e">
        <f t="shared" si="16"/>
        <v>#N/A</v>
      </c>
      <c r="I175" s="157" t="e">
        <f t="shared" si="20"/>
        <v>#N/A</v>
      </c>
      <c r="J175" s="157"/>
      <c r="M175" s="22" t="s">
        <v>72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61">
        <f t="shared" si="19"/>
        <v>0</v>
      </c>
      <c r="G176" s="161"/>
      <c r="H176" s="29" t="e">
        <f t="shared" si="16"/>
        <v>#N/A</v>
      </c>
      <c r="I176" s="157" t="e">
        <f t="shared" si="20"/>
        <v>#N/A</v>
      </c>
      <c r="J176" s="157"/>
      <c r="M176" s="22" t="s">
        <v>72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61">
        <f t="shared" si="19"/>
        <v>0</v>
      </c>
      <c r="G177" s="161"/>
      <c r="H177" s="29" t="e">
        <f t="shared" si="16"/>
        <v>#N/A</v>
      </c>
      <c r="I177" s="157" t="e">
        <f t="shared" si="20"/>
        <v>#N/A</v>
      </c>
      <c r="J177" s="157"/>
      <c r="M177" s="22" t="s">
        <v>72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61">
        <f t="shared" si="19"/>
        <v>0</v>
      </c>
      <c r="G178" s="161"/>
      <c r="H178" s="29" t="e">
        <f t="shared" si="16"/>
        <v>#N/A</v>
      </c>
      <c r="I178" s="157" t="e">
        <f t="shared" si="20"/>
        <v>#N/A</v>
      </c>
      <c r="J178" s="157"/>
      <c r="M178" s="22" t="s">
        <v>72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61">
        <f t="shared" si="19"/>
        <v>0</v>
      </c>
      <c r="G179" s="161"/>
      <c r="H179" s="29" t="e">
        <f t="shared" si="16"/>
        <v>#N/A</v>
      </c>
      <c r="I179" s="157" t="e">
        <f t="shared" si="20"/>
        <v>#N/A</v>
      </c>
      <c r="J179" s="157"/>
      <c r="M179" s="22" t="s">
        <v>72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61">
        <f t="shared" si="19"/>
        <v>0</v>
      </c>
      <c r="G180" s="161"/>
      <c r="H180" s="29" t="e">
        <f t="shared" si="16"/>
        <v>#N/A</v>
      </c>
      <c r="I180" s="157" t="e">
        <f t="shared" si="20"/>
        <v>#N/A</v>
      </c>
      <c r="J180" s="157"/>
      <c r="M180" s="22" t="s">
        <v>72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61">
        <f t="shared" si="19"/>
        <v>0</v>
      </c>
      <c r="G181" s="161"/>
      <c r="H181" s="29" t="e">
        <f t="shared" si="16"/>
        <v>#N/A</v>
      </c>
      <c r="I181" s="157" t="e">
        <f t="shared" si="20"/>
        <v>#N/A</v>
      </c>
      <c r="J181" s="157"/>
      <c r="M181" s="22" t="s">
        <v>72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61">
        <f t="shared" si="19"/>
        <v>0</v>
      </c>
      <c r="G182" s="161"/>
      <c r="H182" s="29" t="e">
        <f t="shared" si="16"/>
        <v>#N/A</v>
      </c>
      <c r="I182" s="157" t="e">
        <f t="shared" si="20"/>
        <v>#N/A</v>
      </c>
      <c r="J182" s="157"/>
      <c r="M182" s="22" t="s">
        <v>72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61">
        <f t="shared" si="19"/>
        <v>0</v>
      </c>
      <c r="G183" s="161"/>
      <c r="H183" s="29" t="e">
        <f t="shared" si="16"/>
        <v>#N/A</v>
      </c>
      <c r="I183" s="157" t="e">
        <f t="shared" si="20"/>
        <v>#N/A</v>
      </c>
      <c r="J183" s="157"/>
      <c r="M183" s="22" t="s">
        <v>72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61">
        <f t="shared" si="19"/>
        <v>0</v>
      </c>
      <c r="G184" s="161"/>
      <c r="H184" s="29" t="e">
        <f t="shared" si="16"/>
        <v>#N/A</v>
      </c>
      <c r="I184" s="157" t="e">
        <f t="shared" si="20"/>
        <v>#N/A</v>
      </c>
      <c r="J184" s="157"/>
      <c r="M184" s="22" t="s">
        <v>72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61">
        <f t="shared" si="19"/>
        <v>0</v>
      </c>
      <c r="G185" s="161"/>
      <c r="H185" s="29" t="e">
        <f t="shared" si="16"/>
        <v>#N/A</v>
      </c>
      <c r="I185" s="157" t="e">
        <f t="shared" si="20"/>
        <v>#N/A</v>
      </c>
      <c r="J185" s="157"/>
      <c r="M185" s="22" t="s">
        <v>72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61">
        <f t="shared" si="19"/>
        <v>0</v>
      </c>
      <c r="G186" s="161"/>
      <c r="H186" s="29" t="e">
        <f t="shared" si="16"/>
        <v>#N/A</v>
      </c>
      <c r="I186" s="157" t="e">
        <f t="shared" si="20"/>
        <v>#N/A</v>
      </c>
      <c r="J186" s="157"/>
      <c r="M186" s="22" t="s">
        <v>72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61">
        <f t="shared" si="19"/>
        <v>0</v>
      </c>
      <c r="G187" s="161"/>
      <c r="H187" s="29" t="e">
        <f t="shared" si="16"/>
        <v>#N/A</v>
      </c>
      <c r="I187" s="157" t="e">
        <f t="shared" si="20"/>
        <v>#N/A</v>
      </c>
      <c r="J187" s="157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1" t="s">
        <v>186</v>
      </c>
      <c r="B190" s="181"/>
      <c r="C190" s="181"/>
      <c r="D190" s="181"/>
      <c r="E190" s="27">
        <f>SUM(F158:G187)</f>
        <v>86453.72</v>
      </c>
    </row>
    <row r="191" spans="1:14" ht="51.75" customHeight="1">
      <c r="A191" s="181" t="s">
        <v>185</v>
      </c>
      <c r="B191" s="181"/>
      <c r="C191" s="181"/>
      <c r="D191" s="181"/>
      <c r="E191" s="27">
        <f>E190+E154-E155</f>
        <v>-8674.3300000000017</v>
      </c>
    </row>
    <row r="192" spans="1:14">
      <c r="A192" s="104" t="s">
        <v>173</v>
      </c>
    </row>
    <row r="193" spans="1:10" ht="62.25" customHeight="1">
      <c r="A193" s="155" t="s">
        <v>184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>
      <c r="A194" s="153" t="str">
        <f>ПТО!F12</f>
        <v xml:space="preserve">  -  поверка (замена) манометров и термометров</v>
      </c>
      <c r="B194" s="153"/>
      <c r="C194" s="153"/>
      <c r="D194" s="153"/>
      <c r="E194" s="153"/>
      <c r="F194" s="153"/>
      <c r="G194" s="153"/>
      <c r="H194" s="50">
        <f>ПТО!G12</f>
        <v>1200</v>
      </c>
      <c r="I194" s="51" t="s">
        <v>74</v>
      </c>
    </row>
    <row r="195" spans="1:10" ht="18.75" customHeight="1">
      <c r="A195" s="153" t="str">
        <f>ПТО!F13</f>
        <v xml:space="preserve">  -  техническое обслуживание охранной сигнализации</v>
      </c>
      <c r="B195" s="153"/>
      <c r="C195" s="153"/>
      <c r="D195" s="153"/>
      <c r="E195" s="153"/>
      <c r="F195" s="153"/>
      <c r="G195" s="153"/>
      <c r="H195" s="50">
        <f>ПТО!G13</f>
        <v>5400</v>
      </c>
      <c r="I195" s="51" t="s">
        <v>74</v>
      </c>
    </row>
    <row r="196" spans="1:10" ht="18.75" customHeight="1">
      <c r="A196" s="153" t="str">
        <f>ПТО!F14</f>
        <v xml:space="preserve">  -  работы по выбору (решению) общего собрания или совета дома</v>
      </c>
      <c r="B196" s="153"/>
      <c r="C196" s="153"/>
      <c r="D196" s="153"/>
      <c r="E196" s="153"/>
      <c r="F196" s="153"/>
      <c r="G196" s="153"/>
      <c r="H196" s="50">
        <f>ПТО!G14</f>
        <v>75000</v>
      </c>
      <c r="I196" s="51" t="s">
        <v>74</v>
      </c>
    </row>
    <row r="197" spans="1:10" ht="33" hidden="1" customHeight="1">
      <c r="A197" s="153">
        <f>ПТО!F15</f>
        <v>0</v>
      </c>
      <c r="B197" s="153"/>
      <c r="C197" s="153"/>
      <c r="D197" s="153"/>
      <c r="E197" s="153"/>
      <c r="F197" s="153"/>
      <c r="G197" s="153"/>
      <c r="H197" s="50">
        <f>ПТО!G15</f>
        <v>0</v>
      </c>
      <c r="I197" s="51" t="s">
        <v>74</v>
      </c>
    </row>
    <row r="198" spans="1:10" ht="18.75" hidden="1" customHeight="1">
      <c r="A198" s="153">
        <f>ПТО!F16</f>
        <v>0</v>
      </c>
      <c r="B198" s="153"/>
      <c r="C198" s="153"/>
      <c r="D198" s="153"/>
      <c r="E198" s="153"/>
      <c r="F198" s="153"/>
      <c r="G198" s="153"/>
      <c r="H198" s="50">
        <f>ПТО!G16</f>
        <v>0</v>
      </c>
      <c r="I198" s="53" t="s">
        <v>74</v>
      </c>
    </row>
    <row r="199" spans="1:10" ht="18.75" hidden="1" customHeight="1">
      <c r="A199" s="153">
        <f>ПТО!F17</f>
        <v>0</v>
      </c>
      <c r="B199" s="153"/>
      <c r="C199" s="153"/>
      <c r="D199" s="153"/>
      <c r="E199" s="153"/>
      <c r="F199" s="153"/>
      <c r="G199" s="153"/>
      <c r="H199" s="50">
        <f>ПТО!G17</f>
        <v>0</v>
      </c>
      <c r="I199" s="51" t="s">
        <v>74</v>
      </c>
    </row>
    <row r="200" spans="1:10" hidden="1">
      <c r="A200" s="153">
        <f>ПТО!F18</f>
        <v>0</v>
      </c>
      <c r="B200" s="153"/>
      <c r="C200" s="153"/>
      <c r="D200" s="153"/>
      <c r="E200" s="153"/>
      <c r="F200" s="153"/>
      <c r="G200" s="153"/>
      <c r="H200" s="50">
        <f>ПТО!G18</f>
        <v>0</v>
      </c>
      <c r="I200" s="51" t="s">
        <v>74</v>
      </c>
    </row>
    <row r="201" spans="1:10" hidden="1">
      <c r="A201" s="153">
        <f>ПТО!F19</f>
        <v>0</v>
      </c>
      <c r="B201" s="153"/>
      <c r="C201" s="153"/>
      <c r="D201" s="153"/>
      <c r="E201" s="153"/>
      <c r="F201" s="153"/>
      <c r="G201" s="153"/>
      <c r="H201" s="50">
        <f>ПТО!G19</f>
        <v>0</v>
      </c>
      <c r="I201" s="51" t="s">
        <v>74</v>
      </c>
    </row>
    <row r="202" spans="1:10" hidden="1">
      <c r="A202" s="153">
        <f>ПТО!F20</f>
        <v>0</v>
      </c>
      <c r="B202" s="153"/>
      <c r="C202" s="153"/>
      <c r="D202" s="153"/>
      <c r="E202" s="153"/>
      <c r="F202" s="153"/>
      <c r="G202" s="153"/>
      <c r="H202" s="50">
        <f>ПТО!G20</f>
        <v>0</v>
      </c>
      <c r="I202" s="51" t="s">
        <v>74</v>
      </c>
    </row>
    <row r="203" spans="1:10" hidden="1">
      <c r="A203" s="153">
        <f>ПТО!F21</f>
        <v>0</v>
      </c>
      <c r="B203" s="153"/>
      <c r="C203" s="153"/>
      <c r="D203" s="153"/>
      <c r="E203" s="153"/>
      <c r="F203" s="153"/>
      <c r="G203" s="153"/>
      <c r="H203" s="50">
        <f>ПТО!G21</f>
        <v>0</v>
      </c>
      <c r="I203" s="51" t="s">
        <v>74</v>
      </c>
    </row>
    <row r="204" spans="1:10" hidden="1">
      <c r="A204" s="153">
        <f>ПТО!F22</f>
        <v>0</v>
      </c>
      <c r="B204" s="153"/>
      <c r="C204" s="153"/>
      <c r="D204" s="153"/>
      <c r="E204" s="153"/>
      <c r="F204" s="153"/>
      <c r="G204" s="153"/>
      <c r="H204" s="50">
        <f>ПТО!G22</f>
        <v>0</v>
      </c>
      <c r="I204" s="51" t="s">
        <v>74</v>
      </c>
    </row>
    <row r="205" spans="1:10" hidden="1">
      <c r="A205" s="153">
        <f>ПТО!F23</f>
        <v>0</v>
      </c>
      <c r="B205" s="153"/>
      <c r="C205" s="153"/>
      <c r="D205" s="153"/>
      <c r="E205" s="153"/>
      <c r="F205" s="153"/>
      <c r="G205" s="153"/>
      <c r="H205" s="50">
        <f>ПТО!G23</f>
        <v>0</v>
      </c>
      <c r="I205" s="51" t="s">
        <v>74</v>
      </c>
    </row>
    <row r="206" spans="1:10" hidden="1">
      <c r="A206" s="153">
        <f>ПТО!F24</f>
        <v>0</v>
      </c>
      <c r="B206" s="153"/>
      <c r="C206" s="153"/>
      <c r="D206" s="153"/>
      <c r="E206" s="153"/>
      <c r="F206" s="153"/>
      <c r="G206" s="153"/>
      <c r="H206" s="50">
        <f>ПТО!G24</f>
        <v>0</v>
      </c>
      <c r="I206" s="51" t="s">
        <v>74</v>
      </c>
    </row>
    <row r="207" spans="1:10" hidden="1">
      <c r="A207" s="153">
        <f>ПТО!F25</f>
        <v>0</v>
      </c>
      <c r="B207" s="153"/>
      <c r="C207" s="153"/>
      <c r="D207" s="153"/>
      <c r="E207" s="153"/>
      <c r="F207" s="153"/>
      <c r="G207" s="153"/>
      <c r="H207" s="50">
        <f>ПТО!G25</f>
        <v>0</v>
      </c>
      <c r="I207" s="51" t="s">
        <v>74</v>
      </c>
    </row>
    <row r="208" spans="1:10" hidden="1">
      <c r="A208" s="153">
        <f>ПТО!F26</f>
        <v>0</v>
      </c>
      <c r="B208" s="153"/>
      <c r="C208" s="153"/>
      <c r="D208" s="153"/>
      <c r="E208" s="153"/>
      <c r="F208" s="153"/>
      <c r="G208" s="153"/>
      <c r="H208" s="50">
        <f>ПТО!G26</f>
        <v>0</v>
      </c>
      <c r="I208" s="51" t="s">
        <v>74</v>
      </c>
    </row>
    <row r="209" spans="1:9" hidden="1">
      <c r="A209" s="153">
        <f>ПТО!F27</f>
        <v>0</v>
      </c>
      <c r="B209" s="153"/>
      <c r="C209" s="153"/>
      <c r="D209" s="153"/>
      <c r="E209" s="153"/>
      <c r="F209" s="153"/>
      <c r="G209" s="153"/>
      <c r="H209" s="50">
        <f>ПТО!G27</f>
        <v>0</v>
      </c>
      <c r="I209" s="51" t="s">
        <v>74</v>
      </c>
    </row>
    <row r="210" spans="1:9" hidden="1">
      <c r="A210" s="153">
        <f>ПТО!F28</f>
        <v>0</v>
      </c>
      <c r="B210" s="153"/>
      <c r="C210" s="153"/>
      <c r="D210" s="153"/>
      <c r="E210" s="153"/>
      <c r="F210" s="153"/>
      <c r="G210" s="153"/>
      <c r="H210" s="50">
        <f>ПТО!G28</f>
        <v>0</v>
      </c>
      <c r="I210" s="51" t="s">
        <v>74</v>
      </c>
    </row>
    <row r="211" spans="1:9" hidden="1">
      <c r="A211" s="153">
        <f>ПТО!F29</f>
        <v>0</v>
      </c>
      <c r="B211" s="153"/>
      <c r="C211" s="153"/>
      <c r="D211" s="153"/>
      <c r="E211" s="153"/>
      <c r="F211" s="153"/>
      <c r="G211" s="153"/>
      <c r="H211" s="50">
        <f>ПТО!G29</f>
        <v>0</v>
      </c>
      <c r="I211" s="51" t="s">
        <v>74</v>
      </c>
    </row>
    <row r="212" spans="1:9" hidden="1">
      <c r="A212" s="153">
        <f>ПТО!F30</f>
        <v>0</v>
      </c>
      <c r="B212" s="153"/>
      <c r="C212" s="153"/>
      <c r="D212" s="153"/>
      <c r="E212" s="153"/>
      <c r="F212" s="153"/>
      <c r="G212" s="153"/>
      <c r="H212" s="50">
        <f>ПТО!G30</f>
        <v>0</v>
      </c>
      <c r="I212" s="51" t="s">
        <v>74</v>
      </c>
    </row>
    <row r="213" spans="1:9" hidden="1">
      <c r="A213" s="153">
        <f>ПТО!F31</f>
        <v>0</v>
      </c>
      <c r="B213" s="153"/>
      <c r="C213" s="153"/>
      <c r="D213" s="153"/>
      <c r="E213" s="153"/>
      <c r="F213" s="153"/>
      <c r="G213" s="153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81600</v>
      </c>
      <c r="I214" s="57" t="s">
        <v>76</v>
      </c>
    </row>
    <row r="215" spans="1:9" ht="12.75" customHeight="1"/>
  </sheetData>
  <sheetProtection algorithmName="SHA-512" hashValue="UlS8SCzPOiI0E7eHuV44lg63e5lTSkcaDB38MOHnlN551GSFBqELyo0ZSv1PYmih61g3jR3nNEbHXJu2Q067aQ==" saltValue="WlhzWtq9OOosXy1u7ZdKx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2" sqref="C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25">
        <f>-20637.45</f>
        <v>-20637.45</v>
      </c>
    </row>
    <row r="2" spans="1:12" ht="18.75" customHeight="1">
      <c r="A2" s="118" t="s">
        <v>178</v>
      </c>
      <c r="B2" s="121" t="s">
        <v>175</v>
      </c>
      <c r="C2" s="121">
        <v>12</v>
      </c>
      <c r="D2" s="120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188</v>
      </c>
      <c r="B3" s="123" t="s">
        <v>189</v>
      </c>
      <c r="C3" s="122">
        <v>1</v>
      </c>
      <c r="D3" s="119">
        <v>2035.72</v>
      </c>
      <c r="E3" s="140" t="s">
        <v>190</v>
      </c>
      <c r="F3" s="30"/>
      <c r="G3" s="30"/>
      <c r="L3" s="33" t="str">
        <f t="shared" si="0"/>
        <v>ТР</v>
      </c>
    </row>
    <row r="4" spans="1:12" ht="18.75" customHeight="1">
      <c r="A4" s="134" t="s">
        <v>191</v>
      </c>
      <c r="B4" s="141" t="s">
        <v>189</v>
      </c>
      <c r="C4" s="135">
        <v>1</v>
      </c>
      <c r="D4" s="142">
        <v>250</v>
      </c>
      <c r="E4" s="130" t="s">
        <v>192</v>
      </c>
      <c r="F4" s="30"/>
      <c r="G4" s="30"/>
      <c r="L4" s="33" t="str">
        <f t="shared" si="0"/>
        <v>ТР</v>
      </c>
    </row>
    <row r="5" spans="1:12" ht="18.75" customHeight="1">
      <c r="A5" s="146" t="s">
        <v>195</v>
      </c>
      <c r="B5" s="144" t="s">
        <v>189</v>
      </c>
      <c r="C5" s="123">
        <v>1</v>
      </c>
      <c r="D5" s="119">
        <v>14418</v>
      </c>
      <c r="E5" s="147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43" t="s">
        <v>193</v>
      </c>
      <c r="B6" s="144" t="s">
        <v>189</v>
      </c>
      <c r="C6" s="123">
        <v>1</v>
      </c>
      <c r="D6" s="119">
        <v>57500</v>
      </c>
      <c r="E6" s="145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48" t="s">
        <v>197</v>
      </c>
      <c r="B7" s="149" t="s">
        <v>189</v>
      </c>
      <c r="C7" s="150">
        <v>1</v>
      </c>
      <c r="D7" s="151">
        <v>6850</v>
      </c>
      <c r="E7" s="152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28"/>
      <c r="B8" s="129"/>
      <c r="C8" s="43"/>
      <c r="D8" s="44"/>
      <c r="E8" s="130"/>
      <c r="F8" s="46"/>
      <c r="G8" s="46"/>
      <c r="K8" s="44"/>
      <c r="L8" s="33">
        <f t="shared" si="0"/>
        <v>0</v>
      </c>
    </row>
    <row r="9" spans="1:12">
      <c r="A9" s="45"/>
      <c r="B9" s="139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134"/>
      <c r="B10" s="135"/>
      <c r="C10" s="136"/>
      <c r="D10" s="137"/>
      <c r="E10" s="138"/>
      <c r="L10" s="33">
        <f t="shared" si="0"/>
        <v>0</v>
      </c>
    </row>
    <row r="11" spans="1:12" ht="94.5">
      <c r="A11" s="30"/>
      <c r="F11" s="111" t="s">
        <v>184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5400</v>
      </c>
      <c r="L13" s="33">
        <f t="shared" si="0"/>
        <v>0</v>
      </c>
    </row>
    <row r="14" spans="1:12" ht="31.5">
      <c r="A14" s="30"/>
      <c r="F14" s="112" t="s">
        <v>182</v>
      </c>
      <c r="G14" s="113">
        <v>75000</v>
      </c>
      <c r="L14" s="33">
        <f t="shared" si="0"/>
        <v>0</v>
      </c>
    </row>
    <row r="15" spans="1:12" ht="15.75">
      <c r="A15" s="30"/>
      <c r="F15" s="112"/>
      <c r="G15" s="114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45377.760000000002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45377.760000000002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68340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29249.52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29249.52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16401.599999999999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16401.599999999999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28839.48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28839.48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sheetProtection algorithmName="SHA-512" hashValue="F30RpJh+r3X2eE1DWq39e9PiZ3hfCQQ5+SWj1WYc8Xl/OhO6svZPR7JzAP/QRW9WLSWQN7YZsJPt6WB4PQwbTA==" saltValue="xPBrcCs6F3/o8sAxX5lN0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2" ht="15.75">
      <c r="A1" s="71"/>
      <c r="B1" s="72" t="s">
        <v>33</v>
      </c>
      <c r="E1" s="61" t="s">
        <v>176</v>
      </c>
      <c r="F1" s="61">
        <v>1139</v>
      </c>
      <c r="G1" s="131"/>
      <c r="H1" s="131"/>
      <c r="I1" s="131"/>
      <c r="J1" s="131"/>
      <c r="K1" s="131"/>
      <c r="L1" s="131"/>
    </row>
    <row r="2" spans="1:12" ht="15.75" customHeight="1">
      <c r="A2" s="71" t="s">
        <v>81</v>
      </c>
      <c r="B2" s="73" t="s">
        <v>2</v>
      </c>
      <c r="C2" s="84">
        <v>0</v>
      </c>
      <c r="D2" s="82" t="s">
        <v>58</v>
      </c>
      <c r="E2" s="126">
        <v>5.45</v>
      </c>
      <c r="F2" s="127" t="s">
        <v>177</v>
      </c>
      <c r="G2" s="132"/>
      <c r="H2" s="132"/>
      <c r="I2" s="132"/>
      <c r="J2" s="132"/>
      <c r="K2" s="133"/>
      <c r="L2" s="133"/>
    </row>
    <row r="3" spans="1:12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2" ht="15.75" customHeight="1">
      <c r="A4" s="71" t="s">
        <v>83</v>
      </c>
      <c r="B4" s="73" t="s">
        <v>4</v>
      </c>
      <c r="C4" s="84">
        <v>98416.24</v>
      </c>
      <c r="D4" s="82" t="s">
        <v>60</v>
      </c>
      <c r="E4" s="62"/>
      <c r="F4" s="62"/>
      <c r="G4" s="62"/>
      <c r="H4" s="62"/>
      <c r="I4" s="62"/>
      <c r="J4" s="62"/>
    </row>
    <row r="5" spans="1:12" ht="15.75" customHeight="1">
      <c r="A5" s="71" t="s">
        <v>84</v>
      </c>
      <c r="B5" s="73" t="s">
        <v>5</v>
      </c>
      <c r="C5" s="80">
        <f>SUM(C6:C8)</f>
        <v>271944.09000000003</v>
      </c>
      <c r="D5" s="81" t="s">
        <v>59</v>
      </c>
      <c r="E5" s="62"/>
      <c r="F5" s="62"/>
      <c r="G5" s="62"/>
      <c r="H5" s="62"/>
      <c r="I5" s="62"/>
      <c r="J5" s="62"/>
    </row>
    <row r="6" spans="1:12" ht="15.75" customHeight="1">
      <c r="A6" s="71" t="s">
        <v>85</v>
      </c>
      <c r="B6" s="73" t="s">
        <v>6</v>
      </c>
      <c r="C6" s="84">
        <v>128645.06000000003</v>
      </c>
      <c r="D6" s="82" t="s">
        <v>61</v>
      </c>
      <c r="E6" s="62"/>
      <c r="F6" s="62"/>
      <c r="G6" s="62"/>
      <c r="H6" s="62"/>
      <c r="I6" s="62"/>
      <c r="J6" s="62"/>
    </row>
    <row r="7" spans="1:12" ht="15.75" customHeight="1">
      <c r="A7" s="71" t="s">
        <v>86</v>
      </c>
      <c r="B7" s="73" t="s">
        <v>7</v>
      </c>
      <c r="C7" s="84">
        <f>F1*5.45*12</f>
        <v>74490.600000000006</v>
      </c>
      <c r="D7" s="82" t="s">
        <v>62</v>
      </c>
      <c r="E7" s="62"/>
      <c r="F7" s="62"/>
      <c r="G7" s="62"/>
      <c r="H7" s="62"/>
      <c r="I7" s="62"/>
      <c r="J7" s="62"/>
    </row>
    <row r="8" spans="1:12" ht="15.75" customHeight="1">
      <c r="A8" s="71" t="s">
        <v>87</v>
      </c>
      <c r="B8" s="73" t="s">
        <v>8</v>
      </c>
      <c r="C8" s="84">
        <v>68808.429999999978</v>
      </c>
      <c r="D8" s="82" t="s">
        <v>63</v>
      </c>
      <c r="E8" s="62"/>
      <c r="F8" s="62"/>
      <c r="G8" s="62"/>
      <c r="H8" s="62"/>
      <c r="I8" s="62"/>
      <c r="J8" s="62"/>
    </row>
    <row r="9" spans="1:12" ht="15.75" customHeight="1">
      <c r="A9" s="71" t="s">
        <v>88</v>
      </c>
      <c r="B9" s="73" t="s">
        <v>9</v>
      </c>
      <c r="C9" s="80">
        <f>SUM(C10:C14)</f>
        <v>268035.35000000003</v>
      </c>
      <c r="D9" s="81" t="s">
        <v>59</v>
      </c>
      <c r="E9" s="62"/>
      <c r="F9" s="62"/>
      <c r="G9" s="62"/>
      <c r="H9" s="62"/>
      <c r="I9" s="62"/>
      <c r="J9" s="62"/>
    </row>
    <row r="10" spans="1:12" ht="15.75" customHeight="1">
      <c r="A10" s="71" t="s">
        <v>89</v>
      </c>
      <c r="B10" s="73" t="s">
        <v>10</v>
      </c>
      <c r="C10" s="84">
        <v>268035.35000000003</v>
      </c>
      <c r="D10" s="82" t="s">
        <v>64</v>
      </c>
      <c r="E10" s="62"/>
      <c r="F10" s="62"/>
      <c r="G10" s="62"/>
      <c r="H10" s="62"/>
      <c r="I10" s="62"/>
      <c r="J10" s="62"/>
    </row>
    <row r="11" spans="1:12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2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2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2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2" ht="15.75" customHeight="1">
      <c r="A15" s="71" t="s">
        <v>94</v>
      </c>
      <c r="B15" s="73" t="s">
        <v>15</v>
      </c>
      <c r="C15" s="80">
        <f>C9</f>
        <v>268035.35000000003</v>
      </c>
      <c r="D15" s="81" t="s">
        <v>59</v>
      </c>
      <c r="E15" s="62"/>
      <c r="F15" s="62"/>
      <c r="G15" s="62"/>
      <c r="H15" s="62"/>
      <c r="I15" s="62"/>
      <c r="J15" s="62"/>
    </row>
    <row r="16" spans="1:12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102324.97999999998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3"/>
      <c r="N26" s="64"/>
    </row>
    <row r="27" spans="1:15" ht="18.75" customHeight="1">
      <c r="A27" s="71" t="s">
        <v>104</v>
      </c>
      <c r="B27" s="76" t="s">
        <v>4</v>
      </c>
      <c r="C27" s="87">
        <v>16289.92</v>
      </c>
      <c r="D27" s="82" t="s">
        <v>60</v>
      </c>
      <c r="E27" s="65"/>
      <c r="F27" s="65"/>
      <c r="G27" s="65"/>
      <c r="H27" s="65"/>
      <c r="I27" s="65"/>
      <c r="J27" s="65"/>
      <c r="M27" s="18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3"/>
      <c r="N29" s="64"/>
    </row>
    <row r="30" spans="1:15" ht="18.75" customHeight="1">
      <c r="A30" s="71" t="s">
        <v>107</v>
      </c>
      <c r="B30" s="76" t="s">
        <v>18</v>
      </c>
      <c r="C30" s="87">
        <v>376.07999999999402</v>
      </c>
      <c r="D30" s="82" t="s">
        <v>66</v>
      </c>
      <c r="E30" s="65"/>
      <c r="F30" s="65"/>
      <c r="G30" s="65"/>
      <c r="H30" s="65"/>
      <c r="I30" s="65"/>
      <c r="J30" s="65"/>
      <c r="M30" s="18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20475.189999999995</v>
      </c>
      <c r="F37" s="95" t="s">
        <v>166</v>
      </c>
      <c r="G37" s="67"/>
      <c r="H37" s="67"/>
      <c r="I37" s="67"/>
      <c r="L37" s="64"/>
      <c r="M37" s="18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17960.692982456138</v>
      </c>
      <c r="D38" s="95" t="s">
        <v>164</v>
      </c>
      <c r="E38" s="69"/>
      <c r="G38" s="68"/>
      <c r="H38" s="68"/>
      <c r="L38" s="64"/>
      <c r="M38" s="18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19972.27</v>
      </c>
      <c r="D39" s="95" t="s">
        <v>165</v>
      </c>
      <c r="E39" s="69"/>
      <c r="G39" s="68"/>
      <c r="H39" s="68"/>
      <c r="L39" s="64"/>
      <c r="M39" s="18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502.91999999999462</v>
      </c>
      <c r="D40" s="81" t="s">
        <v>59</v>
      </c>
      <c r="E40" s="69"/>
      <c r="G40" s="68"/>
      <c r="H40" s="68"/>
      <c r="L40" s="64"/>
      <c r="M40" s="18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20475.189999999995</v>
      </c>
      <c r="D41" s="81" t="s">
        <v>59</v>
      </c>
      <c r="E41" s="69"/>
      <c r="G41" s="68"/>
      <c r="H41" s="68"/>
      <c r="L41" s="64"/>
      <c r="M41" s="18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20475.189999999995</v>
      </c>
      <c r="D42" s="81" t="s">
        <v>59</v>
      </c>
      <c r="E42" s="69"/>
      <c r="G42" s="68"/>
      <c r="H42" s="68"/>
      <c r="L42" s="64"/>
      <c r="M42" s="18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2"/>
      <c r="N44" s="64"/>
      <c r="O44" s="64"/>
    </row>
    <row r="45" spans="1:15" ht="18.75">
      <c r="A45" s="74" t="s">
        <v>120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166</v>
      </c>
      <c r="G45" s="67"/>
      <c r="H45" s="67"/>
      <c r="L45" s="64"/>
      <c r="M45" s="18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0</v>
      </c>
      <c r="D46" s="95" t="s">
        <v>167</v>
      </c>
      <c r="E46" s="69"/>
      <c r="G46" s="68"/>
      <c r="H46" s="68"/>
      <c r="L46" s="64"/>
      <c r="M46" s="18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7286.8900000000012</v>
      </c>
      <c r="D47" s="95" t="s">
        <v>165</v>
      </c>
      <c r="E47" s="69"/>
      <c r="G47" s="68"/>
      <c r="H47" s="68"/>
      <c r="L47" s="64"/>
      <c r="M47" s="18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8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8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2"/>
      <c r="N52" s="64"/>
      <c r="O52" s="64"/>
    </row>
    <row r="53" spans="1:15" ht="18.75">
      <c r="A53" s="74" t="s">
        <v>128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166</v>
      </c>
      <c r="G53" s="67"/>
      <c r="H53" s="67"/>
      <c r="L53" s="64"/>
      <c r="M53" s="182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0</v>
      </c>
      <c r="D54" s="95" t="s">
        <v>167</v>
      </c>
      <c r="E54" s="70"/>
      <c r="F54" s="90"/>
      <c r="G54" s="65"/>
      <c r="H54" s="65"/>
      <c r="L54" s="64"/>
      <c r="M54" s="18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7625.52</v>
      </c>
      <c r="D55" s="95" t="s">
        <v>165</v>
      </c>
      <c r="E55" s="70"/>
      <c r="G55" s="65"/>
      <c r="H55" s="65"/>
      <c r="L55" s="64"/>
      <c r="M55" s="18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8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8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1901.0900000000001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CF+t1E2KLjCQ5uOdEhlfH/K90QOxUprqI9W+4Z8ozMWYtt8/PZjs+uLdF8zPntgwHrRwh2CMOboB5PNi4Jur2Q==" saltValue="HCVe5YDS2mNvkbFqh9c8r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2021-03-26T07:21:05Z</dcterms:modified>
</cp:coreProperties>
</file>