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37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G102" i="1"/>
  <c r="F102" i="1"/>
  <c r="J101" i="1"/>
  <c r="J96" i="1"/>
  <c r="J95" i="1"/>
  <c r="A101" i="1"/>
  <c r="A97" i="1"/>
  <c r="G94" i="1"/>
  <c r="F94" i="1"/>
  <c r="K94" i="1"/>
  <c r="A105" i="1" l="1"/>
  <c r="A109" i="1"/>
  <c r="F134" i="1"/>
  <c r="A141" i="1"/>
  <c r="D118" i="1"/>
  <c r="A120" i="1"/>
  <c r="A124" i="1"/>
  <c r="F118" i="1"/>
  <c r="A121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H170" i="1"/>
  <c r="H167" i="1"/>
  <c r="F178" i="1"/>
  <c r="F167" i="1"/>
  <c r="H182" i="1"/>
  <c r="F179" i="1"/>
  <c r="F171" i="1"/>
  <c r="H187" i="1"/>
  <c r="H169" i="1"/>
  <c r="H180" i="1"/>
  <c r="F169" i="1"/>
  <c r="H177" i="1"/>
  <c r="H179" i="1"/>
  <c r="H168" i="1"/>
  <c r="F173" i="1"/>
  <c r="H178" i="1"/>
  <c r="F165" i="1"/>
  <c r="H185" i="1"/>
  <c r="H164" i="1"/>
  <c r="F180" i="1"/>
  <c r="H186" i="1"/>
  <c r="H174" i="1"/>
  <c r="F177" i="1"/>
  <c r="F170" i="1"/>
  <c r="H165" i="1"/>
  <c r="H171" i="1"/>
  <c r="F181" i="1"/>
  <c r="F186" i="1"/>
  <c r="F166" i="1"/>
  <c r="H172" i="1"/>
  <c r="F187" i="1"/>
  <c r="F175" i="1"/>
  <c r="F172" i="1"/>
  <c r="F182" i="1"/>
  <c r="F168" i="1"/>
  <c r="H176" i="1"/>
  <c r="H173" i="1"/>
  <c r="H181" i="1"/>
  <c r="H175" i="1"/>
  <c r="H166" i="1"/>
  <c r="F185" i="1"/>
  <c r="F164" i="1"/>
  <c r="F176" i="1"/>
  <c r="F18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<sst xmlns="http://schemas.openxmlformats.org/spreadsheetml/2006/main" count="573" uniqueCount="216">
  <si>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</si>
  <si>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</si>
  <si>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</si>
  <si>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</si>
  <si>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</si>
  <si>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</si>
  <si>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</si>
  <si>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</si>
  <si>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</si>
  <si>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</si>
  <si>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</si>
  <si>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</si>
  <si>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</si>
  <si>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</si>
  <si>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</si>
  <si>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</si>
  <si>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</si>
  <si>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</si>
  <si>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</si>
  <si>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</si>
  <si>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</si>
  <si>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</si>
  <si>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</si>
  <si>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</si>
  <si>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</si>
  <si>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</si>
  <si>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</si>
  <si>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</si>
  <si>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</si>
  <si>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</si>
  <si>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</si>
  <si>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</si>
  <si>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</si>
  <si>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</si>
  <si>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</si>
  <si>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</si>
  <si>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</si>
  <si>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</si>
  <si>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</si>
  <si>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</si>
  <si>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</si>
  <si>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</si>
  <si>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</si>
  <si>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</si>
  <si>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</si>
  <si>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</si>
  <si>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</si>
  <si>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</si>
  <si>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</si>
  <si>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</si>
  <si>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</si>
  <si>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</si>
  <si>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</si>
  <si>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</si>
  <si>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</si>
  <si>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</si>
  <si>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</si>
  <si>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</si>
  <si>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</si>
  <si>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</si>
  <si>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</si>
  <si>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</si>
  <si>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</si>
  <si>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</si>
  <si>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</si>
  <si>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</si>
  <si>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</si>
  <si>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</si>
  <si>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</si>
  <si>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</si>
  <si>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</si>
  <si>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</si>
  <si>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</si>
  <si>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</si>
  <si>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</si>
  <si>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</si>
  <si>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</si>
  <si>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</si>
  <si>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</si>
  <si>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</si>
  <si>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</si>
  <si>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</si>
  <si>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</si>
  <si>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</si>
  <si>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</si>
  <si>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</si>
  <si>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</si>
  <si>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</si>
  <si>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</si>
  <si>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</si>
  <si>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</si>
  <si>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</si>
  <si>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</si>
  <si>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</si>
  <si>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</si>
  <si>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</si>
  <si>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</si>
  <si>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</si>
  <si>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</si>
  <si>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</si>
  <si>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</si>
  <si>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</si>
  <si>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</si>
  <si>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</si>
  <si>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</si>
  <si>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</si>
  <si>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</si>
  <si>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</si>
  <si>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</si>
  <si>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</si>
  <si>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</si>
  <si>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</si>
  <si>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</si>
  <si>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</si>
  <si>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</si>
  <si>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</si>
  <si>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</si>
  <si>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</si>
  <si>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</si>
  <si>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</si>
  <si>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</si>
  <si>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</si>
  <si>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</si>
  <si>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</si>
  <si>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</si>
  <si>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</si>
  <si>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</si>
  <si>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</si>
  <si>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</si>
  <si>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</si>
  <si>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</si>
  <si>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</si>
  <si>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</si>
  <si>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</si>
  <si>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</si>
  <si>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</si>
  <si>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</si>
  <si>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</si>
  <si>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</si>
  <si>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</si>
  <si>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</si>
  <si>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</si>
  <si>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</si>
  <si>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</si>
  <si>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</si>
  <si>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</si>
  <si>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</si>
  <si>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</si>
  <si>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</si>
  <si>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</si>
  <si>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</si>
  <si>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</si>
  <si>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</si>
  <si>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</si>
  <si>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</si>
  <si>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</si>
  <si>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</si>
  <si>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</si>
  <si>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</si>
  <si>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</si>
  <si>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</si>
  <si>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</si>
  <si>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</si>
  <si>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</si>
  <si>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</si>
  <si>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</si>
  <si>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</si>
  <si>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</si>
  <si>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</si>
  <si>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</si>
  <si>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</si>
  <si>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</si>
  <si>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</si>
  <si>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</si>
  <si>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</si>
  <si>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</si>
  <si>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</si>
  <si>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</si>
  <si>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</si>
  <si>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ежегодно</t>
  </si>
  <si>
    <t>ежемесячно</t>
  </si>
  <si>
    <t>разово</t>
  </si>
  <si>
    <t>площадь дома</t>
  </si>
  <si>
    <t>Приобретение и установка новогодней гирлянды</t>
  </si>
  <si>
    <t>Техническое освидетельствование лифта</t>
  </si>
  <si>
    <t>Техническое обслуживание охранной сигнализации</t>
  </si>
  <si>
    <t>Вывоз снега с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</si>
  <si>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</si>
  <si>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</si>
  <si>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</si>
  <si>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</si>
  <si>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</si>
  <si>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АВР 1/20 от 09.01.2020, счет №4 от 25.12.2019</t>
  </si>
  <si>
    <t>АВР 2/20 от 09.01.2020</t>
  </si>
  <si>
    <t>АВР 3/20 от 12.03.2020</t>
  </si>
  <si>
    <t>Аварийные сварочные работы на стояке ГВС (оф. 1)</t>
  </si>
  <si>
    <t>АВР 4/20 от 04.03.2020, Решение</t>
  </si>
  <si>
    <t>Приобретение и установка таблички по пожарной безопасности.</t>
  </si>
  <si>
    <t>АВР от 15.04.2020</t>
  </si>
  <si>
    <t>Благоустройство придомовой территории (приобретение саженцев).</t>
  </si>
  <si>
    <t>АВР 5/20 от 22.05.2020</t>
  </si>
  <si>
    <t>Ремонт подъезда (укладка керамической плитки на 1 этаже).</t>
  </si>
  <si>
    <t>Благоустройство придомовой территории (приобретение песка).</t>
  </si>
  <si>
    <t>АВР 6/20 от 15.05.2020</t>
  </si>
  <si>
    <t>Ремонт камеры системы видеонаблюдения (1 этаж).</t>
  </si>
  <si>
    <t>АВР 7/20 от 07.07.2020, Решение, счет №357 от 07.07.2020</t>
  </si>
  <si>
    <t>Крепеж оборванного троса над подъездом.</t>
  </si>
  <si>
    <t>АВР 8/20 от 26.08.2020, Решение, калькуляция, счет №4 от 02.06.2020</t>
  </si>
  <si>
    <t>Приобретение плиточного клея и декоративного уголка.</t>
  </si>
  <si>
    <t>АВР 10/20 от 10.06.2020, Акт №288 от 09.06.2020</t>
  </si>
  <si>
    <t>АВР 9/20 от 26.08.2020, Решение</t>
  </si>
  <si>
    <t>Настройка регистратора и проверка жестких дисков системы видеонаблюдения.</t>
  </si>
  <si>
    <t>АВР 11/20 от 17.11.2020, счет №631 от 17.11.2020</t>
  </si>
  <si>
    <t xml:space="preserve">  -  техническое обслуживание охранной сигнализации</t>
  </si>
  <si>
    <t xml:space="preserve">  -  вывоз снега с придомовой территории</t>
  </si>
  <si>
    <t xml:space="preserve">  -  приобретение и установка доводчиков на межэтажные и балконные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</si>
</sst>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4" fontId="32" fillId="0" borderId="0" xfId="5" applyNumberFormat="1" applyFont="1" applyFill="1" applyBorder="1" applyAlignment="1"/>
    <xf numFmtId="4" fontId="18" fillId="0" borderId="0" xfId="5" applyNumberFormat="1" applyBorder="1" applyAlignment="1"/>
    <xf numFmtId="0" fontId="18" fillId="0" borderId="0" xfId="5" applyFill="1" applyBorder="1" applyAlignment="1">
      <alignment horizontal="center"/>
    </xf>
    <xf numFmtId="0" fontId="18" fillId="0" borderId="0" xfId="5" applyBorder="1" applyAlignment="1">
      <alignment horizontal="center"/>
    </xf>
    <xf numFmtId="1" fontId="18" fillId="0" borderId="0" xfId="5" applyNumberFormat="1" applyFill="1" applyBorder="1" applyAlignment="1">
      <alignment horizontal="center"/>
    </xf>
    <xf numFmtId="0" fontId="32" fillId="0" borderId="0" xfId="5" applyFont="1" applyFill="1" applyBorder="1" applyAlignment="1"/>
    <xf numFmtId="4" fontId="18" fillId="0" borderId="0" xfId="5" applyNumberFormat="1" applyFill="1" applyBorder="1" applyAlignment="1"/>
    <xf numFmtId="1" fontId="32" fillId="0" borderId="0" xfId="5" applyNumberFormat="1" applyFont="1" applyFill="1" applyBorder="1" applyAlignment="1">
      <alignment horizontal="center"/>
    </xf>
    <xf numFmtId="0" fontId="17" fillId="0" borderId="0" xfId="14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/>
    <xf numFmtId="0" fontId="13" fillId="0" borderId="0" xfId="5" applyFont="1" applyBorder="1"/>
    <xf numFmtId="0" fontId="11" fillId="0" borderId="0" xfId="5" applyFont="1" applyBorder="1" applyAlignment="1">
      <alignment vertical="center"/>
    </xf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4" fontId="17" fillId="0" borderId="0" xfId="14" applyNumberFormat="1" applyFill="1" applyBorder="1" applyAlignment="1"/>
    <xf numFmtId="0" fontId="9" fillId="0" borderId="0" xfId="15" applyFont="1" applyFill="1"/>
    <xf numFmtId="0" fontId="9" fillId="0" borderId="0" xfId="2" applyFont="1" applyFill="1" applyBorder="1" applyAlignment="1"/>
    <xf numFmtId="0" fontId="8" fillId="0" borderId="0" xfId="14" applyFont="1" applyFill="1" applyBorder="1" applyAlignment="1">
      <alignment horizontal="center"/>
    </xf>
    <xf numFmtId="0" fontId="6" fillId="0" borderId="0" xfId="15" applyFont="1" applyFill="1"/>
    <xf numFmtId="0" fontId="5" fillId="0" borderId="0" xfId="2" applyFont="1" applyFill="1" applyBorder="1" applyAlignment="1"/>
    <xf numFmtId="0" fontId="10" fillId="0" borderId="0" xfId="12" applyFont="1" applyFill="1" applyBorder="1" applyAlignment="1"/>
    <xf numFmtId="0" fontId="10" fillId="0" borderId="0" xfId="14" applyFont="1" applyFill="1" applyBorder="1" applyAlignment="1">
      <alignment horizontal="center"/>
    </xf>
    <xf numFmtId="0" fontId="4" fillId="0" borderId="0" xfId="15" applyFont="1" applyFill="1"/>
    <xf numFmtId="0" fontId="7" fillId="0" borderId="0" xfId="17" applyFont="1" applyFill="1" applyBorder="1" applyAlignment="1"/>
    <xf numFmtId="0" fontId="7" fillId="0" borderId="0" xfId="19" applyFont="1" applyFill="1" applyBorder="1" applyAlignment="1">
      <alignment horizontal="center"/>
    </xf>
    <xf numFmtId="4" fontId="7" fillId="0" borderId="0" xfId="19" applyNumberFormat="1" applyFill="1" applyBorder="1" applyAlignment="1"/>
    <xf numFmtId="0" fontId="4" fillId="0" borderId="0" xfId="17" applyFont="1" applyFill="1" applyBorder="1" applyAlignment="1"/>
    <xf numFmtId="0" fontId="3" fillId="0" borderId="0" xfId="2" applyFont="1" applyFill="1" applyBorder="1" applyAlignment="1"/>
    <xf numFmtId="0" fontId="3" fillId="0" borderId="0" xfId="14" applyFont="1" applyFill="1" applyBorder="1" applyAlignment="1">
      <alignment horizontal="center"/>
    </xf>
    <xf numFmtId="0" fontId="2" fillId="0" borderId="0" xfId="15" applyFont="1" applyFill="1"/>
    <xf numFmtId="0" fontId="1" fillId="0" borderId="0" xfId="5" applyFont="1" applyFill="1" applyBorder="1" applyAlignment="1"/>
    <xf numFmtId="4" fontId="25" fillId="0" borderId="0" xfId="0" applyNumberFormat="1" applyFont="1" applyAlignment="1">
      <alignment horizontal="right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57">
    <cellStyle name="Обычный" xfId="0" builtinId="0"/>
    <cellStyle name="Обычный 2" xfId="1"/>
    <cellStyle name="Обычный 2 2" xfId="3"/>
    <cellStyle name="Обычный 2 3" xfId="11"/>
    <cellStyle name="Обычный 2 3 2" xfId="47"/>
    <cellStyle name="Обычный 2 3 3" xfId="34"/>
    <cellStyle name="Обычный 2 3 4" xfId="25"/>
    <cellStyle name="Обычный 2 4" xfId="6"/>
    <cellStyle name="Обычный 2 4 2" xfId="42"/>
    <cellStyle name="Обычный 2 4 3" xfId="20"/>
    <cellStyle name="Обычный 2 5" xfId="38"/>
    <cellStyle name="Обычный 2 6" xfId="30"/>
    <cellStyle name="Обычный 2 7" xfId="52"/>
    <cellStyle name="Обычный 2 8" xfId="16"/>
    <cellStyle name="Обычный 3" xfId="2"/>
    <cellStyle name="Обычный 3 2" xfId="12"/>
    <cellStyle name="Обычный 3 2 2" xfId="48"/>
    <cellStyle name="Обычный 3 2 3" xfId="35"/>
    <cellStyle name="Обычный 3 2 4" xfId="26"/>
    <cellStyle name="Обычный 3 3" xfId="7"/>
    <cellStyle name="Обычный 3 3 2" xfId="43"/>
    <cellStyle name="Обычный 3 3 3" xfId="21"/>
    <cellStyle name="Обычный 3 4" xfId="39"/>
    <cellStyle name="Обычный 3 5" xfId="31"/>
    <cellStyle name="Обычный 3 6" xfId="53"/>
    <cellStyle name="Обычный 3 7" xfId="17"/>
    <cellStyle name="Обычный 4" xfId="4"/>
    <cellStyle name="Обычный 4 2" xfId="13"/>
    <cellStyle name="Обычный 4 2 2" xfId="49"/>
    <cellStyle name="Обычный 4 2 3" xfId="36"/>
    <cellStyle name="Обычный 4 2 4" xfId="27"/>
    <cellStyle name="Обычный 4 3" xfId="8"/>
    <cellStyle name="Обычный 4 3 2" xfId="44"/>
    <cellStyle name="Обычный 4 3 3" xfId="22"/>
    <cellStyle name="Обычный 4 4" xfId="40"/>
    <cellStyle name="Обычный 4 5" xfId="32"/>
    <cellStyle name="Обычный 4 6" xfId="54"/>
    <cellStyle name="Обычный 4 7" xfId="18"/>
    <cellStyle name="Обычный 5" xfId="5"/>
    <cellStyle name="Обычный 5 2" xfId="14"/>
    <cellStyle name="Обычный 5 2 2" xfId="50"/>
    <cellStyle name="Обычный 5 2 3" xfId="37"/>
    <cellStyle name="Обычный 5 2 4" xfId="28"/>
    <cellStyle name="Обычный 5 3" xfId="9"/>
    <cellStyle name="Обычный 5 3 2" xfId="45"/>
    <cellStyle name="Обычный 5 3 3" xfId="23"/>
    <cellStyle name="Обычный 5 4" xfId="41"/>
    <cellStyle name="Обычный 5 5" xfId="33"/>
    <cellStyle name="Обычный 5 6" xfId="55"/>
    <cellStyle name="Обычный 5 7" xfId="19"/>
    <cellStyle name="Обычный 6" xfId="10"/>
    <cellStyle name="Обычный 6 2" xfId="46"/>
    <cellStyle name="Обычный 6 3" xfId="56"/>
    <cellStyle name="Обычный 6 4" xfId="24"/>
    <cellStyle name="Обычный 7" xfId="15"/>
    <cellStyle name="Обычный 7 2" xfId="51"/>
    <cellStyle name="Обычный 7 3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177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9"/>
      <c r="L8" s="180"/>
      <c r="M8" s="109"/>
      <c r="N8" s="109"/>
      <c r="O8" s="70" t="s">
        <v>82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9"/>
      <c r="L9" s="180"/>
      <c r="M9" s="109"/>
      <c r="N9" s="109"/>
      <c r="O9" s="70" t="s">
        <v>83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480932.65</v>
      </c>
      <c r="K10" s="109"/>
      <c r="L10" s="180"/>
      <c r="M10" s="109"/>
      <c r="N10" s="109"/>
      <c r="O10" s="70" t="s">
        <v>84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840575.2</v>
      </c>
      <c r="K11" s="109"/>
      <c r="L11" s="180"/>
      <c r="M11" s="109"/>
      <c r="N11" s="109"/>
      <c r="O11" s="70" t="s">
        <v>85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695308</v>
      </c>
      <c r="K12" s="109"/>
      <c r="L12" s="180"/>
      <c r="M12" s="109"/>
      <c r="N12" s="109"/>
      <c r="O12" s="70" t="s">
        <v>86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145267.20000000001</v>
      </c>
      <c r="K13" s="109"/>
      <c r="L13" s="180"/>
      <c r="M13" s="109"/>
      <c r="N13" s="109"/>
      <c r="O13" s="70" t="s">
        <v>87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0</v>
      </c>
      <c r="K14" s="109"/>
      <c r="L14" s="180"/>
      <c r="M14" s="109"/>
      <c r="N14" s="109"/>
      <c r="O14" s="70" t="s">
        <v>88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1051626.9000000001</v>
      </c>
      <c r="K15" s="109"/>
      <c r="L15" s="180"/>
      <c r="M15" s="109"/>
      <c r="N15" s="109"/>
      <c r="O15" s="70" t="s">
        <v>89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1051626.9000000001</v>
      </c>
      <c r="K16" s="109"/>
      <c r="L16" s="180"/>
      <c r="M16" s="109"/>
      <c r="N16" s="109"/>
      <c r="O16" s="70" t="s">
        <v>90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9"/>
      <c r="L17" s="180"/>
      <c r="M17" s="109"/>
      <c r="N17" s="109"/>
      <c r="O17" s="70" t="s">
        <v>91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9"/>
      <c r="L18" s="180"/>
      <c r="M18" s="109"/>
      <c r="N18" s="109"/>
      <c r="O18" s="70" t="s">
        <v>92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9"/>
      <c r="L19" s="180"/>
      <c r="M19" s="109"/>
      <c r="N19" s="109"/>
      <c r="O19" s="70" t="s">
        <v>93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9"/>
      <c r="L20" s="180"/>
      <c r="M20" s="109"/>
      <c r="N20" s="109"/>
      <c r="O20" s="70" t="s">
        <v>94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1051626.9000000001</v>
      </c>
      <c r="K21" s="109"/>
      <c r="L21" s="180"/>
      <c r="M21" s="109"/>
      <c r="N21" s="109"/>
      <c r="O21" s="70" t="s">
        <v>95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9"/>
      <c r="L22" s="180"/>
      <c r="M22" s="109"/>
      <c r="N22" s="109"/>
      <c r="O22" s="70" t="s">
        <v>96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9"/>
      <c r="L23" s="180"/>
      <c r="M23" s="109"/>
      <c r="N23" s="109"/>
      <c r="O23" s="70" t="s">
        <v>97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269880.94999999995</v>
      </c>
      <c r="K24" s="109"/>
      <c r="L24" s="18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58">
        <f>VLOOKUP(A28,ПТО!$A$39:$D$53,2,FALSE)</f>
        <v>156888.6</v>
      </c>
      <c r="G28" s="158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7" t="str">
        <f>ПТО!A40</f>
        <v>Работы по содержанию лифта (лифтов)</v>
      </c>
      <c r="B29" s="157"/>
      <c r="C29" s="157"/>
      <c r="D29" s="157"/>
      <c r="E29" s="157"/>
      <c r="F29" s="158">
        <f>VLOOKUP(A29,ПТО!$A$39:$D$53,2,FALSE)</f>
        <v>54112.08</v>
      </c>
      <c r="G29" s="158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58">
        <f>VLOOKUP(A30,ПТО!$A$39:$D$53,2,FALSE)</f>
        <v>95513.16</v>
      </c>
      <c r="G30" s="158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58">
        <f>VLOOKUP(A31,ПТО!$A$39:$D$53,2,FALSE)</f>
        <v>42853.8</v>
      </c>
      <c r="G31" s="158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8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58">
        <f>VLOOKUP(A33,ПТО!$A$39:$D$53,2,FALSE)</f>
        <v>15253.08</v>
      </c>
      <c r="G33" s="158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58">
        <f>VLOOKUP(A34,ПТО!$A$39:$D$53,2,FALSE)</f>
        <v>134372.16</v>
      </c>
      <c r="G34" s="158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7" t="str">
        <f>ПТО!A46</f>
        <v>Работы (услуги) по управлению многоквартирным домом</v>
      </c>
      <c r="B35" s="157"/>
      <c r="C35" s="157"/>
      <c r="D35" s="157"/>
      <c r="E35" s="157"/>
      <c r="F35" s="158">
        <f>VLOOKUP(A35,ПТО!$A$39:$D$53,2,FALSE)</f>
        <v>181584</v>
      </c>
      <c r="G35" s="158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81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8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8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8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8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8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8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8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7" t="str">
        <f>ПТО!A2</f>
        <v>Техническое освидетельствование лифта</v>
      </c>
      <c r="B43" s="157"/>
      <c r="C43" s="157"/>
      <c r="D43" s="157"/>
      <c r="E43" s="157"/>
      <c r="F43" s="158">
        <f>VLOOKUP(A43,ПТО!$A$2:$D$31,4,FALSE)</f>
        <v>8100</v>
      </c>
      <c r="G43" s="158"/>
      <c r="H43" s="19" t="str">
        <f>VLOOKUP(A43,ПТО!$A$2:$D$31,2,FALSE)</f>
        <v>ежегодно</v>
      </c>
      <c r="I43" s="159">
        <f>VLOOKUP(A43,ПТО!$A$2:$D$31,3,FALSE)</f>
        <v>1</v>
      </c>
      <c r="J43" s="159"/>
      <c r="K43" s="109"/>
      <c r="L43" s="181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57" t="str">
        <f>ПТО!A3</f>
        <v>Техническое обслуживание охранной сигнализации</v>
      </c>
      <c r="B44" s="157"/>
      <c r="C44" s="157"/>
      <c r="D44" s="157"/>
      <c r="E44" s="157"/>
      <c r="F44" s="158">
        <f>VLOOKUP(A44,ПТО!$A$2:$D$31,4,FALSE)</f>
        <v>12000</v>
      </c>
      <c r="G44" s="158"/>
      <c r="H44" s="25" t="str">
        <f>VLOOKUP(A44,ПТО!$A$2:$D$31,2,FALSE)</f>
        <v>ежемесячно</v>
      </c>
      <c r="I44" s="159">
        <f>VLOOKUP(A44,ПТО!$A$2:$D$31,3,FALSE)</f>
        <v>12</v>
      </c>
      <c r="J44" s="159"/>
      <c r="K44" s="109"/>
      <c r="L44" s="181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57" t="str">
        <f>ПТО!A4</f>
        <v>Вывоз снега с придомовой территории</v>
      </c>
      <c r="B45" s="157"/>
      <c r="C45" s="157"/>
      <c r="D45" s="157"/>
      <c r="E45" s="157"/>
      <c r="F45" s="158">
        <f>VLOOKUP(A45,ПТО!$A$2:$D$31,4,FALSE)</f>
        <v>8822.1200000000008</v>
      </c>
      <c r="G45" s="158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81"/>
      <c r="M45" s="115"/>
      <c r="N45" s="109"/>
      <c r="O45" s="23" t="str">
        <f t="shared" si="1"/>
        <v>Вывоз снега с придомовой территории</v>
      </c>
      <c r="R45" s="22" t="s">
        <v>72</v>
      </c>
    </row>
    <row r="46" spans="1:18" ht="51" customHeight="1" outlineLevel="1">
      <c r="A46" s="157" t="str">
        <f>ПТО!A5</f>
        <v>Приобретение и установка новогодней гирлянды</v>
      </c>
      <c r="B46" s="157"/>
      <c r="C46" s="157"/>
      <c r="D46" s="157"/>
      <c r="E46" s="157"/>
      <c r="F46" s="158">
        <f>VLOOKUP(A46,ПТО!$A$2:$D$31,4,FALSE)</f>
        <v>300</v>
      </c>
      <c r="G46" s="158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81"/>
      <c r="M46" s="115"/>
      <c r="N46" s="109"/>
      <c r="O46" s="23" t="str">
        <f t="shared" si="1"/>
        <v>Приобретение и установка новогодней гирлянды</v>
      </c>
      <c r="R46" s="22" t="s">
        <v>72</v>
      </c>
    </row>
    <row r="47" spans="1:18" ht="51" customHeight="1" outlineLevel="1">
      <c r="A47" s="157" t="str">
        <f>ПТО!A6</f>
        <v>Приобретение и установка таблички по пожарной безопасности.</v>
      </c>
      <c r="B47" s="157"/>
      <c r="C47" s="157"/>
      <c r="D47" s="157"/>
      <c r="E47" s="157"/>
      <c r="F47" s="158">
        <f>VLOOKUP(A47,ПТО!$A$2:$D$31,4,FALSE)</f>
        <v>250</v>
      </c>
      <c r="G47" s="158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81"/>
      <c r="M47" s="115"/>
      <c r="N47" s="109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57" t="str">
        <f>ПТО!A7</f>
        <v>Аварийные сварочные работы на стояке ГВС (оф. 1)</v>
      </c>
      <c r="B48" s="157"/>
      <c r="C48" s="157"/>
      <c r="D48" s="157"/>
      <c r="E48" s="157"/>
      <c r="F48" s="158">
        <f>VLOOKUP(A48,ПТО!$A$2:$D$31,4,FALSE)</f>
        <v>3000</v>
      </c>
      <c r="G48" s="158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81"/>
      <c r="M48" s="115"/>
      <c r="N48" s="109"/>
      <c r="O48" s="23" t="str">
        <f t="shared" si="1"/>
        <v>Аварийные сварочные работы на стояке ГВС (оф. 1)</v>
      </c>
      <c r="R48" s="22" t="s">
        <v>72</v>
      </c>
    </row>
    <row r="49" spans="1:18" ht="51" customHeight="1" outlineLevel="1">
      <c r="A49" s="157" t="str">
        <f>ПТО!A8</f>
        <v>Благоустройство придомовой территории (приобретение саженцев).</v>
      </c>
      <c r="B49" s="157"/>
      <c r="C49" s="157"/>
      <c r="D49" s="157"/>
      <c r="E49" s="157"/>
      <c r="F49" s="158">
        <f>VLOOKUP(A49,ПТО!$A$2:$D$31,4,FALSE)</f>
        <v>2641</v>
      </c>
      <c r="G49" s="158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81"/>
      <c r="M49" s="115"/>
      <c r="N49" s="109"/>
      <c r="O49" s="23" t="str">
        <f t="shared" si="1"/>
        <v>Благоустройство придомовой территории (приобретение саженцев).</v>
      </c>
      <c r="R49" s="22" t="s">
        <v>72</v>
      </c>
    </row>
    <row r="50" spans="1:18" ht="51" customHeight="1" outlineLevel="1">
      <c r="A50" s="157" t="str">
        <f>ПТО!A9</f>
        <v>Благоустройство придомовой территории (приобретение песка).</v>
      </c>
      <c r="B50" s="157"/>
      <c r="C50" s="157"/>
      <c r="D50" s="157"/>
      <c r="E50" s="157"/>
      <c r="F50" s="158">
        <f>VLOOKUP(A50,ПТО!$A$2:$D$31,4,FALSE)</f>
        <v>900</v>
      </c>
      <c r="G50" s="158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81"/>
      <c r="M50" s="115"/>
      <c r="N50" s="109"/>
      <c r="O50" s="23" t="str">
        <f t="shared" si="1"/>
        <v>Благоустройство придомовой территории (приобретение песка).</v>
      </c>
      <c r="R50" s="22" t="s">
        <v>72</v>
      </c>
    </row>
    <row r="51" spans="1:18" ht="51" customHeight="1" outlineLevel="1">
      <c r="A51" s="157" t="str">
        <f>ПТО!A10</f>
        <v>Крепеж оборванного троса над подъездом.</v>
      </c>
      <c r="B51" s="157"/>
      <c r="C51" s="157"/>
      <c r="D51" s="157"/>
      <c r="E51" s="157"/>
      <c r="F51" s="158">
        <f>VLOOKUP(A51,ПТО!$A$2:$D$31,4,FALSE)</f>
        <v>3750</v>
      </c>
      <c r="G51" s="158"/>
      <c r="H51" s="25" t="str">
        <f>VLOOKUP(A51,ПТО!$A$2:$D$31,2,FALSE)</f>
        <v>разово</v>
      </c>
      <c r="I51" s="159">
        <f>VLOOKUP(A51,ПТО!$A$2:$D$31,3,FALSE)</f>
        <v>1</v>
      </c>
      <c r="J51" s="159"/>
      <c r="K51" s="109"/>
      <c r="L51" s="181"/>
      <c r="M51" s="115"/>
      <c r="N51" s="109"/>
      <c r="O51" s="23" t="str">
        <f t="shared" si="1"/>
        <v>Крепеж оборванного троса над подъездом.</v>
      </c>
      <c r="R51" s="22" t="s">
        <v>72</v>
      </c>
    </row>
    <row r="52" spans="1:18" ht="51" customHeight="1" outlineLevel="1">
      <c r="A52" s="157" t="str">
        <f>ПТО!A11</f>
        <v>Ремонт подъезда (укладка керамической плитки на 1 этаже).</v>
      </c>
      <c r="B52" s="157"/>
      <c r="C52" s="157"/>
      <c r="D52" s="157"/>
      <c r="E52" s="157"/>
      <c r="F52" s="158">
        <f>VLOOKUP(A52,ПТО!$A$2:$D$31,4,FALSE)</f>
        <v>97365</v>
      </c>
      <c r="G52" s="158"/>
      <c r="H52" s="25" t="str">
        <f>VLOOKUP(A52,ПТО!$A$2:$D$31,2,FALSE)</f>
        <v>разово</v>
      </c>
      <c r="I52" s="159">
        <f>VLOOKUP(A52,ПТО!$A$2:$D$31,3,FALSE)</f>
        <v>1</v>
      </c>
      <c r="J52" s="159"/>
      <c r="K52" s="109"/>
      <c r="L52" s="181"/>
      <c r="M52" s="115"/>
      <c r="N52" s="109"/>
      <c r="O52" s="23" t="str">
        <f t="shared" si="1"/>
        <v>Ремонт подъезда (укладка керамической плитки на 1 этаже).</v>
      </c>
      <c r="R52" s="22" t="s">
        <v>72</v>
      </c>
    </row>
    <row r="53" spans="1:18" ht="51" customHeight="1" outlineLevel="1">
      <c r="A53" s="157" t="str">
        <f>ПТО!A12</f>
        <v>Приобретение плиточного клея и декоративного уголка.</v>
      </c>
      <c r="B53" s="157"/>
      <c r="C53" s="157"/>
      <c r="D53" s="157"/>
      <c r="E53" s="157"/>
      <c r="F53" s="158">
        <f>VLOOKUP(A53,ПТО!$A$2:$D$31,4,FALSE)</f>
        <v>7800</v>
      </c>
      <c r="G53" s="158"/>
      <c r="H53" s="25" t="str">
        <f>VLOOKUP(A53,ПТО!$A$2:$D$31,2,FALSE)</f>
        <v>разово</v>
      </c>
      <c r="I53" s="159">
        <f>VLOOKUP(A53,ПТО!$A$2:$D$31,3,FALSE)</f>
        <v>1</v>
      </c>
      <c r="J53" s="159"/>
      <c r="K53" s="109"/>
      <c r="L53" s="181"/>
      <c r="M53" s="115"/>
      <c r="N53" s="109"/>
      <c r="O53" s="23" t="str">
        <f t="shared" si="1"/>
        <v>Приобретение плиточного клея и декоративного уголка.</v>
      </c>
      <c r="R53" s="22" t="s">
        <v>72</v>
      </c>
    </row>
    <row r="54" spans="1:18" ht="51" customHeight="1" outlineLevel="1">
      <c r="A54" s="157" t="str">
        <f>ПТО!A13</f>
        <v>Ремонт камеры системы видеонаблюдения (1 этаж).</v>
      </c>
      <c r="B54" s="157"/>
      <c r="C54" s="157"/>
      <c r="D54" s="157"/>
      <c r="E54" s="157"/>
      <c r="F54" s="158">
        <f>VLOOKUP(A54,ПТО!$A$2:$D$31,4,FALSE)</f>
        <v>1600</v>
      </c>
      <c r="G54" s="158"/>
      <c r="H54" s="25" t="str">
        <f>VLOOKUP(A54,ПТО!$A$2:$D$31,2,FALSE)</f>
        <v>разово</v>
      </c>
      <c r="I54" s="159">
        <f>VLOOKUP(A54,ПТО!$A$2:$D$31,3,FALSE)</f>
        <v>1</v>
      </c>
      <c r="J54" s="159"/>
      <c r="K54" s="109"/>
      <c r="L54" s="181"/>
      <c r="M54" s="115"/>
      <c r="N54" s="109"/>
      <c r="O54" s="23" t="str">
        <f t="shared" si="1"/>
        <v>Ремонт камеры системы видеонаблюдения (1 этаж).</v>
      </c>
      <c r="R54" s="22" t="s">
        <v>72</v>
      </c>
    </row>
    <row r="55" spans="1:18" ht="51" customHeight="1" outlineLevel="1">
      <c r="A55" s="157" t="str">
        <f>ПТО!A14</f>
        <v>Настройка регистратора и проверка жестких дисков системы видеонаблюдения.</v>
      </c>
      <c r="B55" s="157"/>
      <c r="C55" s="157"/>
      <c r="D55" s="157"/>
      <c r="E55" s="157"/>
      <c r="F55" s="158">
        <f>VLOOKUP(A55,ПТО!$A$2:$D$31,4,FALSE)</f>
        <v>1100</v>
      </c>
      <c r="G55" s="158"/>
      <c r="H55" s="25" t="str">
        <f>VLOOKUP(A55,ПТО!$A$2:$D$31,2,FALSE)</f>
        <v>разово</v>
      </c>
      <c r="I55" s="159">
        <f>VLOOKUP(A55,ПТО!$A$2:$D$31,3,FALSE)</f>
        <v>1</v>
      </c>
      <c r="J55" s="159"/>
      <c r="K55" s="109"/>
      <c r="L55" s="181"/>
      <c r="M55" s="115"/>
      <c r="N55" s="109"/>
      <c r="O55" s="23" t="str">
        <f t="shared" si="1"/>
        <v>Настройка регистратора и проверка жестких дисков системы видеонаблюдения.</v>
      </c>
      <c r="R55" s="22" t="s">
        <v>72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8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8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8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8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8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8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8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8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8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8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8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8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8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8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8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8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8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5" t="s">
        <v>27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64"/>
      <c r="M75" s="109"/>
      <c r="N75" s="109"/>
      <c r="O75" s="70" t="s">
        <v>99</v>
      </c>
    </row>
    <row r="76" spans="1:16384" ht="18.75" customHeight="1" outlineLevel="1">
      <c r="A76" s="175" t="s">
        <v>28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64"/>
      <c r="M76" s="109"/>
      <c r="N76" s="109"/>
      <c r="O76" s="70" t="s">
        <v>100</v>
      </c>
    </row>
    <row r="77" spans="1:16384" ht="21.75" customHeight="1" outlineLevel="1">
      <c r="A77" s="175" t="s">
        <v>29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64"/>
      <c r="M77" s="109"/>
      <c r="N77" s="109"/>
      <c r="O77" s="70" t="s">
        <v>101</v>
      </c>
    </row>
    <row r="78" spans="1:16384" ht="18.75" customHeight="1" outlineLevel="1">
      <c r="A78" s="175" t="s">
        <v>30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64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103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7">
        <f t="shared" si="2"/>
        <v>0</v>
      </c>
      <c r="K82" s="109"/>
      <c r="L82" s="182"/>
      <c r="M82" s="109"/>
      <c r="N82" s="109"/>
      <c r="O82" s="70" t="s">
        <v>104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471566.62</v>
      </c>
      <c r="K83" s="109"/>
      <c r="L83" s="182"/>
      <c r="M83" s="109"/>
      <c r="N83" s="109"/>
      <c r="O83" s="70" t="s">
        <v>105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82"/>
      <c r="M84" s="109"/>
      <c r="N84" s="109"/>
      <c r="O84" s="70" t="s">
        <v>106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82"/>
      <c r="M85" s="109"/>
      <c r="N85" s="109"/>
      <c r="O85" s="70" t="s">
        <v>107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275608.28999999998</v>
      </c>
      <c r="K86" s="109"/>
      <c r="L86" s="182"/>
      <c r="M86" s="109"/>
      <c r="N86" s="109"/>
      <c r="O86" s="70" t="s">
        <v>108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82"/>
      <c r="M87" s="109"/>
      <c r="N87" s="109"/>
      <c r="O87" s="70" t="s">
        <v>109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82"/>
      <c r="M88" s="109"/>
      <c r="N88" s="109"/>
      <c r="O88" s="70" t="s">
        <v>110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82"/>
      <c r="M89" s="109"/>
      <c r="N89" s="109"/>
      <c r="O89" s="70" t="s">
        <v>111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8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6" t="s">
        <v>48</v>
      </c>
      <c r="B93" s="166"/>
      <c r="C93" s="166"/>
      <c r="D93" s="169" t="s">
        <v>49</v>
      </c>
      <c r="E93" s="169"/>
      <c r="F93" s="10" t="s">
        <v>50</v>
      </c>
      <c r="G93" s="166" t="s">
        <v>51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70" t="str">
        <f>IF(VLOOKUP("эл",АО,3,FALSE)&gt;0,"Электроснабжение",0)</f>
        <v>Электроснабжение</v>
      </c>
      <c r="B94" s="170"/>
      <c r="C94" s="170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7">
        <f>VLOOKUP("эл",АО,5,FALSE)</f>
        <v>32111.379999999997</v>
      </c>
      <c r="H94" s="168"/>
      <c r="I94" s="168"/>
      <c r="J94" s="168"/>
      <c r="K94" s="1" t="str">
        <f>VLOOKUP("эл",АО,2,FALSE)</f>
        <v>Электроснабжение</v>
      </c>
      <c r="L94" s="183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28167.877192982458</v>
      </c>
      <c r="L95" s="183"/>
      <c r="O95" s="1" t="s">
        <v>113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34637.369999999988</v>
      </c>
      <c r="L96" s="183"/>
      <c r="O96" s="1" t="s">
        <v>114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83"/>
      <c r="O97" s="1" t="s">
        <v>115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32111.379999999997</v>
      </c>
      <c r="L98" s="183"/>
      <c r="O98" s="1" t="s">
        <v>116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32111.379999999997</v>
      </c>
      <c r="L99" s="183"/>
      <c r="O99" s="1" t="s">
        <v>117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83"/>
      <c r="O100" s="1" t="s">
        <v>118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83"/>
      <c r="O101" s="1" t="s">
        <v>119</v>
      </c>
    </row>
    <row r="102" spans="1:15" ht="28.5" customHeight="1" outlineLevel="1">
      <c r="A102" s="170" t="str">
        <f>IF(VLOOKUP("хвс",АО,3,FALSE)&gt;0,"Холодное водоснабжение",0)</f>
        <v>Холодное водоснабжение</v>
      </c>
      <c r="B102" s="170"/>
      <c r="C102" s="170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7">
        <f>VLOOKUP("хвс",АО,5,FALSE)</f>
        <v>92416.200000000026</v>
      </c>
      <c r="H102" s="168"/>
      <c r="I102" s="168"/>
      <c r="J102" s="168"/>
      <c r="L102" s="183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6830.4656319290489</v>
      </c>
      <c r="L103" s="183"/>
      <c r="O103" s="1" t="s">
        <v>122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100616.48999999999</v>
      </c>
      <c r="L104" s="183"/>
      <c r="O104" s="1" t="s">
        <v>123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83"/>
      <c r="O105" s="1" t="s">
        <v>124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92416.200000000026</v>
      </c>
      <c r="L106" s="183"/>
      <c r="O106" s="1" t="s">
        <v>125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92416.200000000026</v>
      </c>
      <c r="L107" s="183"/>
      <c r="O107" s="1" t="s">
        <v>126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83"/>
      <c r="O108" s="1" t="s">
        <v>127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83"/>
      <c r="O109" s="1" t="s">
        <v>128</v>
      </c>
    </row>
    <row r="110" spans="1:15" ht="27" customHeight="1" outlineLevel="1">
      <c r="A110" s="170" t="str">
        <f>IF(VLOOKUP("воо",АО,3,FALSE)&gt;0,"Водоотведение",0)</f>
        <v>Водоотведение</v>
      </c>
      <c r="B110" s="170"/>
      <c r="C110" s="170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7">
        <f>VLOOKUP("воо",АО,5,FALSE)</f>
        <v>107656.65000000004</v>
      </c>
      <c r="H110" s="168"/>
      <c r="I110" s="168"/>
      <c r="J110" s="168"/>
      <c r="L110" s="183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6977.0998055735608</v>
      </c>
      <c r="L111" s="183"/>
      <c r="O111" s="1" t="s">
        <v>130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112589.38999999998</v>
      </c>
      <c r="L112" s="183"/>
      <c r="O112" s="1" t="s">
        <v>131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83"/>
      <c r="O113" s="1" t="s">
        <v>132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107656.65000000004</v>
      </c>
      <c r="L114" s="183"/>
      <c r="O114" s="1" t="s">
        <v>133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107656.65000000004</v>
      </c>
      <c r="L115" s="183"/>
      <c r="O115" s="1" t="s">
        <v>134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83"/>
      <c r="O116" s="1" t="s">
        <v>135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83"/>
      <c r="O117" s="1" t="s">
        <v>136</v>
      </c>
    </row>
    <row r="118" spans="1:15" ht="32.25" customHeight="1" outlineLevel="1">
      <c r="A118" s="170" t="str">
        <f>IF(VLOOKUP("тко",АО,3,FALSE)&gt;0,"Обращение с ТКО",0)</f>
        <v>Обращение с ТКО</v>
      </c>
      <c r="B118" s="170"/>
      <c r="C118" s="170"/>
      <c r="D118" s="168" t="str">
        <f>IF(VLOOKUP("тко",АО,3,FALSE)&gt;0,VLOOKUP("тко",АО,3,FALSE),0)</f>
        <v>Предоставляется</v>
      </c>
      <c r="E118" s="168"/>
      <c r="F118" s="13" t="str">
        <f>IF(VLOOKUP("тко",АО,3,FALSE)&gt;0,VLOOKUP("тко",АО,4,FALSE),0)</f>
        <v>куб.м.</v>
      </c>
      <c r="G118" s="167">
        <f>VLOOKUP("тко",АО,5,FALSE)</f>
        <v>144234.22999999995</v>
      </c>
      <c r="H118" s="168"/>
      <c r="I118" s="168"/>
      <c r="J118" s="168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254.42174242825132</v>
      </c>
      <c r="L119" s="47"/>
      <c r="O119" s="1" t="s">
        <v>138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149272.32999999999</v>
      </c>
      <c r="L120" s="47"/>
      <c r="O120" s="1" t="s">
        <v>139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144234.22999999995</v>
      </c>
      <c r="L122" s="47"/>
      <c r="O122" s="1" t="s">
        <v>141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144234.22999999995</v>
      </c>
      <c r="L123" s="47"/>
      <c r="O123" s="1" t="s">
        <v>142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0" t="str">
        <f>IF(VLOOKUP("гвс",АО,3,FALSE)&gt;0,"Горячее водоснабжение",0)</f>
        <v>Горячее водоснабжение</v>
      </c>
      <c r="B126" s="170"/>
      <c r="C126" s="170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7">
        <f>VLOOKUP("гвс",АО,5,FALSE)</f>
        <v>225227.85000000003</v>
      </c>
      <c r="H126" s="168"/>
      <c r="I126" s="168"/>
      <c r="J126" s="168"/>
      <c r="L126" s="47"/>
    </row>
    <row r="127" spans="1:15" ht="32.25" hidden="1" customHeight="1" outlineLevel="2">
      <c r="A127" s="165" t="str">
        <f t="shared" ref="A127:A133" si="10">IF(VLOOKUP("гвс",АО,3,FALSE)&gt;0,VLOOKUP(O127,АО,2,FALSE),0)</f>
        <v>Общий объем потребления, нат. показ.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2827.547224054782</v>
      </c>
      <c r="L127" s="47"/>
      <c r="O127" s="1" t="s">
        <v>146</v>
      </c>
    </row>
    <row r="128" spans="1:15" ht="32.25" hidden="1" customHeight="1" outlineLevel="2">
      <c r="A128" s="165" t="str">
        <f t="shared" si="10"/>
        <v>Оплачено потребителями, руб.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231194.48000000007</v>
      </c>
      <c r="L128" s="47"/>
      <c r="O128" s="1" t="s">
        <v>147</v>
      </c>
    </row>
    <row r="129" spans="1:15" ht="32.25" hidden="1" customHeight="1" outlineLevel="2">
      <c r="A129" s="165" t="str">
        <f t="shared" si="10"/>
        <v>Задолженность потребителей, руб.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5" t="str">
        <f t="shared" si="10"/>
        <v>Начислено поставщиком (поставщиками) коммунального ресурса, руб.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225227.85000000003</v>
      </c>
      <c r="L130" s="47"/>
      <c r="O130" s="1" t="s">
        <v>149</v>
      </c>
    </row>
    <row r="131" spans="1:15" ht="32.25" hidden="1" customHeight="1" outlineLevel="2">
      <c r="A131" s="165" t="str">
        <f t="shared" si="10"/>
        <v>Оплачено поставщику (поставщикам) коммунального ресурса, руб.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225227.85000000003</v>
      </c>
      <c r="L131" s="47"/>
      <c r="O131" s="1" t="s">
        <v>150</v>
      </c>
    </row>
    <row r="132" spans="1:15" ht="32.25" hidden="1" customHeight="1" outlineLevel="2">
      <c r="A132" s="165" t="str">
        <f t="shared" si="10"/>
        <v>Задолженность перед поставщиком (поставщиками) коммунального ресурса, руб.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5" t="str">
        <f t="shared" si="10"/>
        <v>Размер пени и штрафов, уплаченных поставщику (поставщикам) коммунального ресурса, руб.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0" t="str">
        <f>IF(VLOOKUP("отопление",АО,3,FALSE)&gt;0,"Отопление",0)</f>
        <v>Отопление</v>
      </c>
      <c r="B134" s="170"/>
      <c r="C134" s="170"/>
      <c r="D134" s="168" t="str">
        <f>IF(VLOOKUP("отопление",АО,3,FALSE)&gt;0,VLOOKUP("отопление",АО,3,FALSE),0)</f>
        <v>Предоставляется</v>
      </c>
      <c r="E134" s="168"/>
      <c r="F134" s="13" t="str">
        <f>IF(VLOOKUP("отопление",АО,3,FALSE)&gt;0,VLOOKUP("отопление",АО,4,FALSE),0)</f>
        <v>Гкал</v>
      </c>
      <c r="G134" s="167">
        <f>VLOOKUP("отопление",АО,5,FALSE)</f>
        <v>476905.64999999997</v>
      </c>
      <c r="H134" s="168"/>
      <c r="I134" s="168"/>
      <c r="J134" s="168"/>
      <c r="L134" s="47"/>
    </row>
    <row r="135" spans="1:15" ht="32.25" hidden="1" customHeight="1" outlineLevel="2">
      <c r="A135" s="165" t="str">
        <f t="shared" ref="A135:A141" si="12">IF(VLOOKUP("отопление",АО,3,FALSE)&gt;0,VLOOKUP(O135,АО,2,FALSE),0)</f>
        <v>Общий объем потребления, нат. показ.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333.54</v>
      </c>
      <c r="L135" s="47"/>
      <c r="O135" s="1" t="s">
        <v>154</v>
      </c>
    </row>
    <row r="136" spans="1:15" ht="32.25" hidden="1" customHeight="1" outlineLevel="2">
      <c r="A136" s="165" t="str">
        <f t="shared" si="12"/>
        <v>Оплачено потребителями, руб.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646200.2300000001</v>
      </c>
      <c r="L136" s="47"/>
      <c r="O136" s="1" t="s">
        <v>155</v>
      </c>
    </row>
    <row r="137" spans="1:15" ht="32.25" hidden="1" customHeight="1" outlineLevel="2">
      <c r="A137" s="165" t="str">
        <f t="shared" si="12"/>
        <v>Задолженность потребителей, руб.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5" t="str">
        <f t="shared" si="12"/>
        <v>Начислено поставщиком (поставщиками) коммунального ресурса, руб.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476905.64999999997</v>
      </c>
      <c r="L138" s="47"/>
      <c r="O138" s="1" t="s">
        <v>157</v>
      </c>
    </row>
    <row r="139" spans="1:15" ht="32.25" hidden="1" customHeight="1" outlineLevel="2">
      <c r="A139" s="165" t="str">
        <f t="shared" si="12"/>
        <v>Оплачено поставщику (поставщикам) коммунального ресурса, руб.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476905.64999999997</v>
      </c>
      <c r="L139" s="47"/>
      <c r="O139" s="1" t="s">
        <v>158</v>
      </c>
    </row>
    <row r="140" spans="1:15" ht="32.25" hidden="1" customHeight="1" outlineLevel="2">
      <c r="A140" s="165" t="str">
        <f t="shared" si="12"/>
        <v>Задолженность перед поставщиком (поставщиками) коммунального ресурса, руб.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5" t="str">
        <f t="shared" si="12"/>
        <v>Размер пени и штрафов, уплаченных поставщику (поставщикам) коммунального ресурса, руб.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170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65" t="s">
        <v>173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202420.04</v>
      </c>
      <c r="O146" t="s">
        <v>172</v>
      </c>
    </row>
    <row r="149" spans="1:15" ht="52.5" customHeight="1">
      <c r="A149" s="161" t="s">
        <v>178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0" t="s">
        <v>187</v>
      </c>
      <c r="B154" s="160"/>
      <c r="C154" s="160"/>
      <c r="D154" s="160"/>
      <c r="E154" s="27">
        <f>ПТО!G1</f>
        <v>-157629.78</v>
      </c>
    </row>
    <row r="155" spans="1:15" ht="34.5" customHeight="1">
      <c r="A155" s="162" t="s">
        <v>191</v>
      </c>
      <c r="B155" s="162"/>
      <c r="C155" s="162"/>
      <c r="D155" s="162"/>
      <c r="E155" s="28">
        <f>J13</f>
        <v>145267.20000000001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7" t="str">
        <f t="shared" ref="A158:A163" si="14">IF(N158&gt;0,N158,0)</f>
        <v>Техническое освидетельствование лифта</v>
      </c>
      <c r="B158" s="157"/>
      <c r="C158" s="157"/>
      <c r="D158" s="157"/>
      <c r="E158" s="157"/>
      <c r="F158" s="158">
        <f t="shared" ref="F158:F163" si="15">IF(ISERROR(VLOOKUP(A158,$A$28:$J$72,6,FALSE)),0,VLOOKUP(A158,$A$28:$J$72,6,FALSE))</f>
        <v>8100</v>
      </c>
      <c r="G158" s="158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1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57" t="str">
        <f t="shared" si="14"/>
        <v>Техническое обслуживание охранной сигнализации</v>
      </c>
      <c r="B159" s="157"/>
      <c r="C159" s="157"/>
      <c r="D159" s="157"/>
      <c r="E159" s="157"/>
      <c r="F159" s="158">
        <f t="shared" si="15"/>
        <v>12000</v>
      </c>
      <c r="G159" s="158"/>
      <c r="H159" s="24" t="str">
        <f t="shared" si="16"/>
        <v>ежемесячно</v>
      </c>
      <c r="I159" s="159">
        <f t="shared" si="17"/>
        <v>12</v>
      </c>
      <c r="J159" s="159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57" t="str">
        <f t="shared" si="14"/>
        <v>Вывоз снега с придомовой территории</v>
      </c>
      <c r="B160" s="157"/>
      <c r="C160" s="157"/>
      <c r="D160" s="157"/>
      <c r="E160" s="157"/>
      <c r="F160" s="158">
        <f t="shared" si="15"/>
        <v>8822.1200000000008</v>
      </c>
      <c r="G160" s="158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Вывоз снега с придомовой территории</v>
      </c>
    </row>
    <row r="161" spans="1:14" ht="28.5" customHeight="1">
      <c r="A161" s="157" t="str">
        <f>IF(N161&gt;0,N161,0)</f>
        <v>Приобретение и установка новогодней гирлянды</v>
      </c>
      <c r="B161" s="157"/>
      <c r="C161" s="157"/>
      <c r="D161" s="157"/>
      <c r="E161" s="157"/>
      <c r="F161" s="158">
        <f t="shared" si="15"/>
        <v>300</v>
      </c>
      <c r="G161" s="158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Приобретение и установка новогодней гирлянды</v>
      </c>
    </row>
    <row r="162" spans="1:14" ht="28.5" customHeight="1">
      <c r="A162" s="157" t="str">
        <f t="shared" si="14"/>
        <v>Приобретение и установка таблички по пожарной безопасности.</v>
      </c>
      <c r="B162" s="157"/>
      <c r="C162" s="157"/>
      <c r="D162" s="157"/>
      <c r="E162" s="157"/>
      <c r="F162" s="158">
        <f t="shared" si="15"/>
        <v>250</v>
      </c>
      <c r="G162" s="158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57" t="str">
        <f t="shared" si="14"/>
        <v>Аварийные сварочные работы на стояке ГВС (оф. 1)</v>
      </c>
      <c r="B163" s="157"/>
      <c r="C163" s="157"/>
      <c r="D163" s="157"/>
      <c r="E163" s="157"/>
      <c r="F163" s="158">
        <f t="shared" si="15"/>
        <v>3000</v>
      </c>
      <c r="G163" s="158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72</v>
      </c>
      <c r="N163" s="1" t="str">
        <v>Аварийные сварочные работы на стояке ГВС (оф. 1)</v>
      </c>
    </row>
    <row r="164" spans="1:14" ht="28.5" customHeight="1">
      <c r="A164" s="157" t="str">
        <f t="shared" ref="A164:A187" si="18">IF(N164&gt;0,N164,0)</f>
        <v>Благоустройство придомовой территории (приобретение саженцев).</v>
      </c>
      <c r="B164" s="157"/>
      <c r="C164" s="157"/>
      <c r="D164" s="157"/>
      <c r="E164" s="157"/>
      <c r="F164" s="158">
        <f t="shared" ref="F164:F187" si="19">IF(ISERROR(VLOOKUP(A164,$A$28:$J$72,6,FALSE)),0,VLOOKUP(A164,$A$28:$J$72,6,FALSE))</f>
        <v>2641</v>
      </c>
      <c r="G164" s="158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72</v>
      </c>
      <c r="N164" s="1" t="str">
        <v>Благоустройство придомовой территории (приобретение саженцев).</v>
      </c>
    </row>
    <row r="165" spans="1:14" ht="28.5" customHeight="1">
      <c r="A165" s="157" t="str">
        <f t="shared" si="18"/>
        <v>Благоустройство придомовой территории (приобретение песка).</v>
      </c>
      <c r="B165" s="157"/>
      <c r="C165" s="157"/>
      <c r="D165" s="157"/>
      <c r="E165" s="157"/>
      <c r="F165" s="158">
        <f t="shared" si="19"/>
        <v>900</v>
      </c>
      <c r="G165" s="158"/>
      <c r="H165" s="29" t="str">
        <f t="shared" si="16"/>
        <v>разово</v>
      </c>
      <c r="I165" s="159">
        <f t="shared" si="20"/>
        <v>1</v>
      </c>
      <c r="J165" s="159"/>
      <c r="M165" s="22" t="s">
        <v>72</v>
      </c>
      <c r="N165" s="1" t="str">
        <v>Благоустройство придомовой территории (приобретение песка).</v>
      </c>
    </row>
    <row r="166" spans="1:14" ht="28.5" customHeight="1">
      <c r="A166" s="157" t="str">
        <f t="shared" si="18"/>
        <v>Крепеж оборванного троса над подъездом.</v>
      </c>
      <c r="B166" s="157"/>
      <c r="C166" s="157"/>
      <c r="D166" s="157"/>
      <c r="E166" s="157"/>
      <c r="F166" s="158">
        <f t="shared" si="19"/>
        <v>3750</v>
      </c>
      <c r="G166" s="158"/>
      <c r="H166" s="29" t="str">
        <f t="shared" si="16"/>
        <v>разово</v>
      </c>
      <c r="I166" s="159">
        <f t="shared" si="20"/>
        <v>1</v>
      </c>
      <c r="J166" s="159"/>
      <c r="M166" s="22" t="s">
        <v>72</v>
      </c>
      <c r="N166" s="1" t="str">
        <v>Крепеж оборванного троса над подъездом.</v>
      </c>
    </row>
    <row r="167" spans="1:14" ht="28.5" customHeight="1">
      <c r="A167" s="157" t="str">
        <f t="shared" si="18"/>
        <v>Ремонт подъезда (укладка керамической плитки на 1 этаже).</v>
      </c>
      <c r="B167" s="157"/>
      <c r="C167" s="157"/>
      <c r="D167" s="157"/>
      <c r="E167" s="157"/>
      <c r="F167" s="158">
        <f t="shared" si="19"/>
        <v>97365</v>
      </c>
      <c r="G167" s="158"/>
      <c r="H167" s="29" t="str">
        <f t="shared" si="16"/>
        <v>разово</v>
      </c>
      <c r="I167" s="159">
        <f t="shared" si="20"/>
        <v>1</v>
      </c>
      <c r="J167" s="159"/>
      <c r="M167" s="22" t="s">
        <v>72</v>
      </c>
      <c r="N167" s="1" t="str">
        <v>Ремонт подъезда (укладка керамической плитки на 1 этаже).</v>
      </c>
    </row>
    <row r="168" spans="1:14" ht="28.5" customHeight="1">
      <c r="A168" s="157" t="str">
        <f t="shared" si="18"/>
        <v>Приобретение плиточного клея и декоративного уголка.</v>
      </c>
      <c r="B168" s="157"/>
      <c r="C168" s="157"/>
      <c r="D168" s="157"/>
      <c r="E168" s="157"/>
      <c r="F168" s="158">
        <f t="shared" si="19"/>
        <v>7800</v>
      </c>
      <c r="G168" s="158"/>
      <c r="H168" s="29" t="str">
        <f t="shared" si="16"/>
        <v>разово</v>
      </c>
      <c r="I168" s="159">
        <f t="shared" si="20"/>
        <v>1</v>
      </c>
      <c r="J168" s="159"/>
      <c r="M168" s="22" t="s">
        <v>72</v>
      </c>
      <c r="N168" s="1" t="str">
        <v>Приобретение плиточного клея и декоративного уголка.</v>
      </c>
    </row>
    <row r="169" spans="1:14" ht="28.5" customHeight="1">
      <c r="A169" s="157" t="str">
        <f t="shared" si="18"/>
        <v>Ремонт камеры системы видеонаблюдения (1 этаж).</v>
      </c>
      <c r="B169" s="157"/>
      <c r="C169" s="157"/>
      <c r="D169" s="157"/>
      <c r="E169" s="157"/>
      <c r="F169" s="158">
        <f t="shared" si="19"/>
        <v>1600</v>
      </c>
      <c r="G169" s="158"/>
      <c r="H169" s="29" t="str">
        <f t="shared" si="16"/>
        <v>разово</v>
      </c>
      <c r="I169" s="159">
        <f t="shared" si="20"/>
        <v>1</v>
      </c>
      <c r="J169" s="159"/>
      <c r="M169" s="22" t="s">
        <v>72</v>
      </c>
      <c r="N169" s="1" t="str">
        <v>Ремонт камеры системы видеонаблюдения (1 этаж).</v>
      </c>
    </row>
    <row r="170" spans="1:14" ht="28.5" customHeight="1">
      <c r="A170" s="157" t="str">
        <f t="shared" si="18"/>
        <v>Настройка регистратора и проверка жестких дисков системы видеонаблюдения.</v>
      </c>
      <c r="B170" s="157"/>
      <c r="C170" s="157"/>
      <c r="D170" s="157"/>
      <c r="E170" s="157"/>
      <c r="F170" s="158">
        <f t="shared" si="19"/>
        <v>1100</v>
      </c>
      <c r="G170" s="158"/>
      <c r="H170" s="29" t="str">
        <f t="shared" si="16"/>
        <v>разово</v>
      </c>
      <c r="I170" s="159">
        <f t="shared" si="20"/>
        <v>1</v>
      </c>
      <c r="J170" s="159"/>
      <c r="M170" s="22" t="s">
        <v>72</v>
      </c>
      <c r="N170" s="1" t="str">
        <v>Настройка регистратора и проверка жестких дисков системы видеонаблюдения.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58">
        <f t="shared" si="19"/>
        <v>0</v>
      </c>
      <c r="G171" s="158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58">
        <f t="shared" si="19"/>
        <v>0</v>
      </c>
      <c r="G172" s="158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58">
        <f t="shared" si="19"/>
        <v>0</v>
      </c>
      <c r="G173" s="158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58">
        <f t="shared" si="19"/>
        <v>0</v>
      </c>
      <c r="G174" s="158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58">
        <f t="shared" si="19"/>
        <v>0</v>
      </c>
      <c r="G175" s="158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58">
        <f t="shared" si="19"/>
        <v>0</v>
      </c>
      <c r="G176" s="158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58">
        <f t="shared" si="19"/>
        <v>0</v>
      </c>
      <c r="G177" s="158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58">
        <f t="shared" si="19"/>
        <v>0</v>
      </c>
      <c r="G178" s="158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58">
        <f t="shared" si="19"/>
        <v>0</v>
      </c>
      <c r="G179" s="158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58">
        <f t="shared" si="19"/>
        <v>0</v>
      </c>
      <c r="G180" s="158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58">
        <f t="shared" si="19"/>
        <v>0</v>
      </c>
      <c r="G181" s="158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58">
        <f t="shared" si="19"/>
        <v>0</v>
      </c>
      <c r="G182" s="158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58">
        <f t="shared" si="19"/>
        <v>0</v>
      </c>
      <c r="G183" s="158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58">
        <f t="shared" si="19"/>
        <v>0</v>
      </c>
      <c r="G184" s="158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58">
        <f t="shared" si="19"/>
        <v>0</v>
      </c>
      <c r="G185" s="158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58">
        <f t="shared" si="19"/>
        <v>0</v>
      </c>
      <c r="G186" s="158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58">
        <f t="shared" si="19"/>
        <v>0</v>
      </c>
      <c r="G187" s="158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0" t="s">
        <v>190</v>
      </c>
      <c r="B190" s="160"/>
      <c r="C190" s="160"/>
      <c r="D190" s="160"/>
      <c r="E190" s="27">
        <f>SUM(F158:G187)</f>
        <v>147628.12</v>
      </c>
    </row>
    <row r="191" spans="1:14" ht="51.75" customHeight="1">
      <c r="A191" s="160" t="s">
        <v>189</v>
      </c>
      <c r="B191" s="160"/>
      <c r="C191" s="160"/>
      <c r="D191" s="160"/>
      <c r="E191" s="27">
        <f>E190+E154-E155</f>
        <v>-155268.86000000002</v>
      </c>
    </row>
    <row r="192" spans="1:14">
      <c r="A192" s="104" t="s">
        <v>174</v>
      </c>
    </row>
    <row r="193" spans="1:10" ht="62.25" customHeight="1">
      <c r="A193" s="185" t="s">
        <v>188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4" t="str">
        <f>ПТО!F12</f>
        <v xml:space="preserve">  -  поверка (замена) манометров и термометров</v>
      </c>
      <c r="B194" s="184"/>
      <c r="C194" s="184"/>
      <c r="D194" s="184"/>
      <c r="E194" s="184"/>
      <c r="F194" s="184"/>
      <c r="G194" s="184"/>
      <c r="H194" s="49">
        <f>ПТО!G12</f>
        <v>1200</v>
      </c>
      <c r="I194" s="50" t="s">
        <v>74</v>
      </c>
    </row>
    <row r="195" spans="1:10" ht="18.75" customHeight="1">
      <c r="A195" s="184" t="str">
        <f>ПТО!F13</f>
        <v xml:space="preserve">  -  техническое освидетельствование лифта</v>
      </c>
      <c r="B195" s="184"/>
      <c r="C195" s="184"/>
      <c r="D195" s="184"/>
      <c r="E195" s="184"/>
      <c r="F195" s="184"/>
      <c r="G195" s="184"/>
      <c r="H195" s="49">
        <f>ПТО!G13</f>
        <v>8100</v>
      </c>
      <c r="I195" s="50" t="s">
        <v>74</v>
      </c>
    </row>
    <row r="196" spans="1:10" ht="18.75" customHeight="1">
      <c r="A196" s="184" t="str">
        <f>ПТО!F14</f>
        <v xml:space="preserve">  -  техническое обслуживание охранной сигнализации</v>
      </c>
      <c r="B196" s="184"/>
      <c r="C196" s="184"/>
      <c r="D196" s="184"/>
      <c r="E196" s="184"/>
      <c r="F196" s="184"/>
      <c r="G196" s="184"/>
      <c r="H196" s="49">
        <f>ПТО!G14</f>
        <v>12000</v>
      </c>
      <c r="I196" s="50" t="s">
        <v>74</v>
      </c>
    </row>
    <row r="197" spans="1:10" ht="18.75" customHeight="1">
      <c r="A197" s="184" t="str">
        <f>ПТО!F15</f>
        <v xml:space="preserve">  -  приобретение и установка доводчиков на межэтажные и балконные двери</v>
      </c>
      <c r="B197" s="184"/>
      <c r="C197" s="184"/>
      <c r="D197" s="184"/>
      <c r="E197" s="184"/>
      <c r="F197" s="184"/>
      <c r="G197" s="184"/>
      <c r="H197" s="49">
        <f>ПТО!G15</f>
        <v>28500</v>
      </c>
      <c r="I197" s="50" t="s">
        <v>74</v>
      </c>
    </row>
    <row r="198" spans="1:10" ht="18.75" customHeight="1">
      <c r="A198" s="184" t="str">
        <f>ПТО!F16</f>
        <v xml:space="preserve">  -  вывоз снега с придомовой территории</v>
      </c>
      <c r="B198" s="184"/>
      <c r="C198" s="184"/>
      <c r="D198" s="184"/>
      <c r="E198" s="184"/>
      <c r="F198" s="184"/>
      <c r="G198" s="184"/>
      <c r="H198" s="49">
        <f>ПТО!G16</f>
        <v>20000</v>
      </c>
      <c r="I198" s="52" t="s">
        <v>74</v>
      </c>
    </row>
    <row r="199" spans="1:10" ht="18.75" hidden="1" customHeight="1">
      <c r="A199" s="184">
        <f>ПТО!F17</f>
        <v>0</v>
      </c>
      <c r="B199" s="184"/>
      <c r="C199" s="184"/>
      <c r="D199" s="184"/>
      <c r="E199" s="184"/>
      <c r="F199" s="184"/>
      <c r="G199" s="184"/>
      <c r="H199" s="49">
        <f>ПТО!G17</f>
        <v>0</v>
      </c>
      <c r="I199" s="50" t="s">
        <v>74</v>
      </c>
    </row>
    <row r="200" spans="1:10" hidden="1">
      <c r="A200" s="184">
        <f>ПТО!F18</f>
        <v>0</v>
      </c>
      <c r="B200" s="184"/>
      <c r="C200" s="184"/>
      <c r="D200" s="184"/>
      <c r="E200" s="184"/>
      <c r="F200" s="184"/>
      <c r="G200" s="184"/>
      <c r="H200" s="49">
        <f>ПТО!G18</f>
        <v>0</v>
      </c>
      <c r="I200" s="50" t="s">
        <v>74</v>
      </c>
    </row>
    <row r="201" spans="1:10" hidden="1">
      <c r="A201" s="184">
        <f>ПТО!F19</f>
        <v>0</v>
      </c>
      <c r="B201" s="184"/>
      <c r="C201" s="184"/>
      <c r="D201" s="184"/>
      <c r="E201" s="184"/>
      <c r="F201" s="184"/>
      <c r="G201" s="184"/>
      <c r="H201" s="49">
        <f>ПТО!G19</f>
        <v>0</v>
      </c>
      <c r="I201" s="50" t="s">
        <v>74</v>
      </c>
    </row>
    <row r="202" spans="1:10" hidden="1">
      <c r="A202" s="184">
        <f>ПТО!F20</f>
        <v>0</v>
      </c>
      <c r="B202" s="184"/>
      <c r="C202" s="184"/>
      <c r="D202" s="184"/>
      <c r="E202" s="184"/>
      <c r="F202" s="184"/>
      <c r="G202" s="184"/>
      <c r="H202" s="49">
        <f>ПТО!G20</f>
        <v>0</v>
      </c>
      <c r="I202" s="50" t="s">
        <v>74</v>
      </c>
    </row>
    <row r="203" spans="1:10" hidden="1">
      <c r="A203" s="184">
        <f>ПТО!F21</f>
        <v>0</v>
      </c>
      <c r="B203" s="184"/>
      <c r="C203" s="184"/>
      <c r="D203" s="184"/>
      <c r="E203" s="184"/>
      <c r="F203" s="184"/>
      <c r="G203" s="184"/>
      <c r="H203" s="49">
        <f>ПТО!G21</f>
        <v>0</v>
      </c>
      <c r="I203" s="50" t="s">
        <v>74</v>
      </c>
    </row>
    <row r="204" spans="1:10" hidden="1">
      <c r="A204" s="184">
        <f>ПТО!F22</f>
        <v>0</v>
      </c>
      <c r="B204" s="184"/>
      <c r="C204" s="184"/>
      <c r="D204" s="184"/>
      <c r="E204" s="184"/>
      <c r="F204" s="184"/>
      <c r="G204" s="184"/>
      <c r="H204" s="49">
        <f>ПТО!G22</f>
        <v>0</v>
      </c>
      <c r="I204" s="50" t="s">
        <v>74</v>
      </c>
    </row>
    <row r="205" spans="1:10" hidden="1">
      <c r="A205" s="184">
        <f>ПТО!F23</f>
        <v>0</v>
      </c>
      <c r="B205" s="184"/>
      <c r="C205" s="184"/>
      <c r="D205" s="184"/>
      <c r="E205" s="184"/>
      <c r="F205" s="184"/>
      <c r="G205" s="184"/>
      <c r="H205" s="49">
        <f>ПТО!G23</f>
        <v>0</v>
      </c>
      <c r="I205" s="50" t="s">
        <v>74</v>
      </c>
    </row>
    <row r="206" spans="1:10" hidden="1">
      <c r="A206" s="184">
        <f>ПТО!F24</f>
        <v>0</v>
      </c>
      <c r="B206" s="184"/>
      <c r="C206" s="184"/>
      <c r="D206" s="184"/>
      <c r="E206" s="184"/>
      <c r="F206" s="184"/>
      <c r="G206" s="184"/>
      <c r="H206" s="49">
        <f>ПТО!G24</f>
        <v>0</v>
      </c>
      <c r="I206" s="50" t="s">
        <v>74</v>
      </c>
    </row>
    <row r="207" spans="1:10" hidden="1">
      <c r="A207" s="184">
        <f>ПТО!F25</f>
        <v>0</v>
      </c>
      <c r="B207" s="184"/>
      <c r="C207" s="184"/>
      <c r="D207" s="184"/>
      <c r="E207" s="184"/>
      <c r="F207" s="184"/>
      <c r="G207" s="184"/>
      <c r="H207" s="49">
        <f>ПТО!G25</f>
        <v>0</v>
      </c>
      <c r="I207" s="50" t="s">
        <v>74</v>
      </c>
    </row>
    <row r="208" spans="1:10" hidden="1">
      <c r="A208" s="184">
        <f>ПТО!F26</f>
        <v>0</v>
      </c>
      <c r="B208" s="184"/>
      <c r="C208" s="184"/>
      <c r="D208" s="184"/>
      <c r="E208" s="184"/>
      <c r="F208" s="184"/>
      <c r="G208" s="184"/>
      <c r="H208" s="49">
        <f>ПТО!G26</f>
        <v>0</v>
      </c>
      <c r="I208" s="50" t="s">
        <v>74</v>
      </c>
    </row>
    <row r="209" spans="1:9" hidden="1">
      <c r="A209" s="184">
        <f>ПТО!F27</f>
        <v>0</v>
      </c>
      <c r="B209" s="184"/>
      <c r="C209" s="184"/>
      <c r="D209" s="184"/>
      <c r="E209" s="184"/>
      <c r="F209" s="184"/>
      <c r="G209" s="184"/>
      <c r="H209" s="49">
        <f>ПТО!G27</f>
        <v>0</v>
      </c>
      <c r="I209" s="50" t="s">
        <v>74</v>
      </c>
    </row>
    <row r="210" spans="1:9" hidden="1">
      <c r="A210" s="184">
        <f>ПТО!F28</f>
        <v>0</v>
      </c>
      <c r="B210" s="184"/>
      <c r="C210" s="184"/>
      <c r="D210" s="184"/>
      <c r="E210" s="184"/>
      <c r="F210" s="184"/>
      <c r="G210" s="184"/>
      <c r="H210" s="49">
        <f>ПТО!G28</f>
        <v>0</v>
      </c>
      <c r="I210" s="50" t="s">
        <v>74</v>
      </c>
    </row>
    <row r="211" spans="1:9" hidden="1">
      <c r="A211" s="184">
        <f>ПТО!F29</f>
        <v>0</v>
      </c>
      <c r="B211" s="184"/>
      <c r="C211" s="184"/>
      <c r="D211" s="184"/>
      <c r="E211" s="184"/>
      <c r="F211" s="184"/>
      <c r="G211" s="184"/>
      <c r="H211" s="49">
        <f>ПТО!G29</f>
        <v>0</v>
      </c>
      <c r="I211" s="50" t="s">
        <v>74</v>
      </c>
    </row>
    <row r="212" spans="1:9" hidden="1">
      <c r="A212" s="184">
        <f>ПТО!F30</f>
        <v>0</v>
      </c>
      <c r="B212" s="184"/>
      <c r="C212" s="184"/>
      <c r="D212" s="184"/>
      <c r="E212" s="184"/>
      <c r="F212" s="184"/>
      <c r="G212" s="184"/>
      <c r="H212" s="49">
        <f>ПТО!G30</f>
        <v>0</v>
      </c>
      <c r="I212" s="50" t="s">
        <v>74</v>
      </c>
    </row>
    <row r="213" spans="1:9" hidden="1">
      <c r="A213" s="184">
        <f>ПТО!F31</f>
        <v>0</v>
      </c>
      <c r="B213" s="184"/>
      <c r="C213" s="184"/>
      <c r="D213" s="184"/>
      <c r="E213" s="184"/>
      <c r="F213" s="184"/>
      <c r="G213" s="18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69800</v>
      </c>
      <c r="I214" s="56" t="s">
        <v>77</v>
      </c>
    </row>
  </sheetData>
  <sheetProtection algorithmName="SHA-512" hashValue="bssMw+AKm+jLSSiv93lvUFKjczSxAwMrdEL4HDYylAXVER9ieL3hyka4FgUjZjb51rZk8CYBV6wpBIDyTISAcg==" saltValue="xHm45IxL8fR5RGZ7S8iWX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/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-157629.78</f>
        <v>-157629.78</v>
      </c>
    </row>
    <row r="2" spans="1:12" ht="18.75" customHeight="1">
      <c r="A2" s="122" t="s">
        <v>184</v>
      </c>
      <c r="B2" s="120" t="s">
        <v>179</v>
      </c>
      <c r="C2" s="120">
        <v>1</v>
      </c>
      <c r="D2" s="117">
        <v>8100</v>
      </c>
      <c r="E2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185</v>
      </c>
      <c r="B3" s="120" t="s">
        <v>180</v>
      </c>
      <c r="C3" s="120">
        <v>12</v>
      </c>
      <c r="D3" s="118">
        <v>12000</v>
      </c>
      <c r="E3" s="134" t="s">
        <v>198</v>
      </c>
      <c r="F3" s="30"/>
      <c r="G3" s="30"/>
      <c r="L3" s="33" t="str">
        <f t="shared" si="0"/>
        <v>ТР</v>
      </c>
    </row>
    <row r="4" spans="1:12" ht="18.75" customHeight="1">
      <c r="A4" s="155" t="s">
        <v>186</v>
      </c>
      <c r="B4" s="119" t="s">
        <v>181</v>
      </c>
      <c r="C4" s="121">
        <v>1</v>
      </c>
      <c r="D4" s="128">
        <v>8822.1200000000008</v>
      </c>
      <c r="E4" s="133" t="s">
        <v>192</v>
      </c>
      <c r="F4" s="30"/>
      <c r="G4" s="30"/>
      <c r="L4" s="33" t="str">
        <f t="shared" si="0"/>
        <v>ТР</v>
      </c>
    </row>
    <row r="5" spans="1:12" ht="18.75" customHeight="1">
      <c r="A5" s="129" t="s">
        <v>183</v>
      </c>
      <c r="B5" s="130" t="s">
        <v>181</v>
      </c>
      <c r="C5" s="121">
        <v>1</v>
      </c>
      <c r="D5" s="123">
        <v>300</v>
      </c>
      <c r="E5" s="133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197</v>
      </c>
      <c r="B6" s="132" t="s">
        <v>181</v>
      </c>
      <c r="C6" s="121">
        <v>1</v>
      </c>
      <c r="D6" s="123">
        <v>250</v>
      </c>
      <c r="E6" s="133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31" t="s">
        <v>195</v>
      </c>
      <c r="B7" s="132" t="s">
        <v>181</v>
      </c>
      <c r="C7" s="124">
        <v>1</v>
      </c>
      <c r="D7" s="117">
        <v>3000</v>
      </c>
      <c r="E7" s="133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199</v>
      </c>
      <c r="B8" s="137" t="s">
        <v>181</v>
      </c>
      <c r="C8" s="126">
        <v>1</v>
      </c>
      <c r="D8" s="138">
        <v>2641</v>
      </c>
      <c r="E8" s="135" t="s">
        <v>200</v>
      </c>
      <c r="F8" s="45"/>
      <c r="G8" s="45"/>
      <c r="K8" s="43"/>
      <c r="L8" s="33" t="str">
        <f t="shared" si="0"/>
        <v>ТР</v>
      </c>
    </row>
    <row r="9" spans="1:12">
      <c r="A9" s="141" t="s">
        <v>202</v>
      </c>
      <c r="B9" s="137" t="s">
        <v>181</v>
      </c>
      <c r="C9" s="125">
        <v>1</v>
      </c>
      <c r="D9" s="139">
        <v>900</v>
      </c>
      <c r="E9" s="140" t="s">
        <v>203</v>
      </c>
      <c r="F9" s="44"/>
      <c r="G9" s="44"/>
      <c r="K9" s="43"/>
      <c r="L9" s="33" t="str">
        <f t="shared" si="0"/>
        <v>ТР</v>
      </c>
    </row>
    <row r="10" spans="1:12">
      <c r="A10" s="144" t="s">
        <v>206</v>
      </c>
      <c r="B10" s="142" t="s">
        <v>181</v>
      </c>
      <c r="C10" s="126">
        <v>1</v>
      </c>
      <c r="D10" s="138">
        <v>3750</v>
      </c>
      <c r="E10" s="143" t="s">
        <v>205</v>
      </c>
      <c r="F10" s="127"/>
      <c r="L10" s="33" t="str">
        <f t="shared" si="0"/>
        <v>ТР</v>
      </c>
    </row>
    <row r="11" spans="1:12" ht="94.5">
      <c r="A11" s="145" t="s">
        <v>201</v>
      </c>
      <c r="B11" s="146" t="s">
        <v>181</v>
      </c>
      <c r="C11" s="125">
        <v>1</v>
      </c>
      <c r="D11" s="139">
        <v>97365</v>
      </c>
      <c r="E11" s="147" t="s">
        <v>207</v>
      </c>
      <c r="F11" s="111" t="s">
        <v>188</v>
      </c>
      <c r="G11" s="111"/>
      <c r="L11" s="33" t="str">
        <f t="shared" si="0"/>
        <v>ТР</v>
      </c>
    </row>
    <row r="12" spans="1:12" ht="31.5">
      <c r="A12" s="151" t="s">
        <v>208</v>
      </c>
      <c r="B12" s="149" t="s">
        <v>181</v>
      </c>
      <c r="C12" s="126">
        <v>1</v>
      </c>
      <c r="D12" s="150">
        <v>7800</v>
      </c>
      <c r="E12" s="127" t="s">
        <v>210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8" t="s">
        <v>204</v>
      </c>
      <c r="B13" s="149" t="s">
        <v>181</v>
      </c>
      <c r="C13" s="126">
        <v>1</v>
      </c>
      <c r="D13" s="150">
        <v>1600</v>
      </c>
      <c r="E13" s="127" t="s">
        <v>209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52" t="s">
        <v>211</v>
      </c>
      <c r="B14" s="153" t="s">
        <v>181</v>
      </c>
      <c r="C14" s="125">
        <v>1</v>
      </c>
      <c r="D14" s="139">
        <v>1100</v>
      </c>
      <c r="E14" s="154" t="s">
        <v>212</v>
      </c>
      <c r="F14" s="112" t="s">
        <v>213</v>
      </c>
      <c r="G14" s="113">
        <v>12000</v>
      </c>
      <c r="L14" s="33" t="str">
        <f t="shared" si="0"/>
        <v>ТР</v>
      </c>
    </row>
    <row r="15" spans="1:12" ht="47.25">
      <c r="A15" s="30"/>
      <c r="F15" s="111" t="s">
        <v>215</v>
      </c>
      <c r="G15" s="156">
        <v>28500</v>
      </c>
      <c r="L15" s="33">
        <f t="shared" si="0"/>
        <v>0</v>
      </c>
    </row>
    <row r="16" spans="1:12" ht="31.5">
      <c r="A16" s="30"/>
      <c r="F16" s="111" t="s">
        <v>214</v>
      </c>
      <c r="G16" s="156">
        <v>20000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156888.6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156888.6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54112.08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54112.08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95513.16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95513.16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42853.8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42853.8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15253.08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15253.08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134372.16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134372.16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181584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181584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vfFXJe/jwvXe4PT64WVYdXDZnaHSKnU04e7XAIXSBpyGYT3RnR21nFU3gWoVC+zwqUMDKDw1QfJKEWWDcuKNcg==" saltValue="uk+hspccAGLaQYPBFm/Y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4" zoomScale="85" zoomScaleNormal="85" workbookViewId="0">
      <selection activeCell="D89" sqref="D8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3026.4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480932.65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840575.2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695308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145267.20000000001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1051626.9000000001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1051626.9000000001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1051626.9000000001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269880.94999999995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105</v>
      </c>
      <c r="B27" s="75" t="s">
        <v>4</v>
      </c>
      <c r="C27" s="86">
        <v>471566.62</v>
      </c>
      <c r="D27" s="81" t="s">
        <v>60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108</v>
      </c>
      <c r="B30" s="75" t="s">
        <v>18</v>
      </c>
      <c r="C30" s="86">
        <v>275608.28999999998</v>
      </c>
      <c r="D30" s="81" t="s">
        <v>66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32111.379999999997</v>
      </c>
      <c r="F37" s="94" t="s">
        <v>167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28167.877192982458</v>
      </c>
      <c r="D38" s="94" t="s">
        <v>165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34637.369999999988</v>
      </c>
      <c r="D39" s="94" t="s">
        <v>166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6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32111.379999999997</v>
      </c>
      <c r="D41" s="80" t="s">
        <v>59</v>
      </c>
      <c r="E41" s="68"/>
      <c r="G41" s="67"/>
      <c r="H41" s="67"/>
      <c r="L41" s="63"/>
      <c r="M41" s="186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32111.379999999997</v>
      </c>
      <c r="D42" s="80" t="s">
        <v>59</v>
      </c>
      <c r="E42" s="68"/>
      <c r="G42" s="67"/>
      <c r="H42" s="67"/>
      <c r="L42" s="63"/>
      <c r="M42" s="186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92416.200000000026</v>
      </c>
      <c r="F45" s="94" t="s">
        <v>167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6830.4656319290489</v>
      </c>
      <c r="D46" s="94" t="s">
        <v>168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100616.48999999999</v>
      </c>
      <c r="D47" s="94" t="s">
        <v>166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92416.200000000026</v>
      </c>
      <c r="D49" s="80" t="s">
        <v>59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92416.200000000026</v>
      </c>
      <c r="D50" s="80" t="s">
        <v>59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107656.65000000004</v>
      </c>
      <c r="F53" s="94" t="s">
        <v>167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6977.0998055735608</v>
      </c>
      <c r="D54" s="94" t="s">
        <v>168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112589.38999999998</v>
      </c>
      <c r="D55" s="94" t="s">
        <v>166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107656.65000000004</v>
      </c>
      <c r="D57" s="80" t="s">
        <v>59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107656.65000000004</v>
      </c>
      <c r="D58" s="80" t="s">
        <v>59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144234.22999999995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254.42174242825132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149272.32999999999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144234.22999999995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144234.22999999995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225227.85000000003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2827.547224054782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231194.48000000007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225227.85000000003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225227.85000000003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476905.64999999997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333.54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646200.2300000001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476905.64999999997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476905.64999999997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202420.04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2021-03-15T03:07:49Z</dcterms:modified>
</cp:coreProperties>
</file>