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99" i="1"/>
  <c r="A98" i="1"/>
  <c r="A97" i="1"/>
  <c r="A95" i="1"/>
  <c r="G94" i="1"/>
  <c r="F94" i="1"/>
  <c r="A94" i="1"/>
  <c r="K94" i="1"/>
  <c r="F110" i="1" l="1"/>
  <c r="A113" i="1"/>
  <c r="A117" i="1"/>
  <c r="A119" i="1"/>
  <c r="A123" i="1"/>
  <c r="A118" i="1"/>
  <c r="D94" i="1"/>
  <c r="A96" i="1"/>
  <c r="D118" i="1"/>
  <c r="A120" i="1"/>
  <c r="A124" i="1"/>
  <c r="F118" i="1"/>
  <c r="A121" i="1"/>
  <c r="A125" i="1"/>
  <c r="A134" i="1"/>
  <c r="F134" i="1"/>
  <c r="A135" i="1"/>
  <c r="A137" i="1"/>
  <c r="A139" i="1"/>
  <c r="A141" i="1"/>
  <c r="D134" i="1"/>
  <c r="A136" i="1"/>
  <c r="A138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66" i="1"/>
  <c r="A158" i="1"/>
  <c r="E155" i="1"/>
  <c r="H184" i="1" l="1"/>
  <c r="F170" i="1"/>
  <c r="H172" i="1"/>
  <c r="F187" i="1"/>
  <c r="H168" i="1"/>
  <c r="F177" i="1"/>
  <c r="H167" i="1"/>
  <c r="F167" i="1"/>
  <c r="F186" i="1"/>
  <c r="H187" i="1"/>
  <c r="F175" i="1"/>
  <c r="H182" i="1"/>
  <c r="F181" i="1"/>
  <c r="F184" i="1"/>
  <c r="F179" i="1"/>
  <c r="F172" i="1"/>
  <c r="H165" i="1"/>
  <c r="H170" i="1"/>
  <c r="F176" i="1"/>
  <c r="H186" i="1"/>
  <c r="F178" i="1"/>
  <c r="F168" i="1"/>
  <c r="H178" i="1"/>
  <c r="F165" i="1"/>
  <c r="F173" i="1"/>
  <c r="H176" i="1"/>
  <c r="H173" i="1"/>
  <c r="F180" i="1"/>
  <c r="H164" i="1"/>
  <c r="F185" i="1"/>
  <c r="H177" i="1"/>
  <c r="F182" i="1"/>
  <c r="H179" i="1"/>
  <c r="H169" i="1"/>
  <c r="F169" i="1"/>
  <c r="F171" i="1"/>
  <c r="H171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<sst xmlns="http://schemas.openxmlformats.org/spreadsheetml/2006/main" count="566" uniqueCount="213">
  <si>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</si>
  <si>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</si>
  <si>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</si>
  <si>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</si>
  <si>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</si>
  <si>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</si>
  <si>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</si>
  <si>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</si>
  <si>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</si>
  <si>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</si>
  <si>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</si>
  <si>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</si>
  <si>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</si>
  <si>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</si>
  <si>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</si>
  <si>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</si>
  <si>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</si>
  <si>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</si>
  <si>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</si>
  <si>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</si>
  <si>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</si>
  <si>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</si>
  <si>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</si>
  <si>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</si>
  <si>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</si>
  <si>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</si>
  <si>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</si>
  <si>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</si>
  <si>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</si>
  <si>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</si>
  <si>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</si>
  <si>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</si>
  <si>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</si>
  <si>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</si>
  <si>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</si>
  <si>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</si>
  <si>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</si>
  <si>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</si>
  <si>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</si>
  <si>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</si>
  <si>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</si>
  <si>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</si>
  <si>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</si>
  <si>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</si>
  <si>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</si>
  <si>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</si>
  <si>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</si>
  <si>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</si>
  <si>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</si>
  <si>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</si>
  <si>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</si>
  <si>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</si>
  <si>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</si>
  <si>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</si>
  <si>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</si>
  <si>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</si>
  <si>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</si>
  <si>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</si>
  <si>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</si>
  <si>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</si>
  <si>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</si>
  <si>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</si>
  <si>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</si>
  <si>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</si>
  <si>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</si>
  <si>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</si>
  <si>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</si>
  <si>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</si>
  <si>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</si>
  <si>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</si>
  <si>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</si>
  <si>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</si>
  <si>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</si>
  <si>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</si>
  <si>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</si>
  <si>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</si>
  <si>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</si>
  <si>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</si>
  <si>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</si>
  <si>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</si>
  <si>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</si>
  <si>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</si>
  <si>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</si>
  <si>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</si>
  <si>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</si>
  <si>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</si>
  <si>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</si>
  <si>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</si>
  <si>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</si>
  <si>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</si>
  <si>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</si>
  <si>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</si>
  <si>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</si>
  <si>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</si>
  <si>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</si>
  <si>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</si>
  <si>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</si>
  <si>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</si>
  <si>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</si>
  <si>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</si>
  <si>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</si>
  <si>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</si>
  <si>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</si>
  <si>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</si>
  <si>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</si>
  <si>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</si>
  <si>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</si>
  <si>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</si>
  <si>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</si>
  <si>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</si>
  <si>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</si>
  <si>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</si>
  <si>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</si>
  <si>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</si>
  <si>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</si>
  <si>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</si>
  <si>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</si>
  <si>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</si>
  <si>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</si>
  <si>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</si>
  <si>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</si>
  <si>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</si>
  <si>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</si>
  <si>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</si>
  <si>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</si>
  <si>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</si>
  <si>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</si>
  <si>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</si>
  <si>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</si>
  <si>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</si>
  <si>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</si>
  <si>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</si>
  <si>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</si>
  <si>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</si>
  <si>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</si>
  <si>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</si>
  <si>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</si>
  <si>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</si>
  <si>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</si>
  <si>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</si>
  <si>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</si>
  <si>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</si>
  <si>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</si>
  <si>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</si>
  <si>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</si>
  <si>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</si>
  <si>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</si>
  <si>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</si>
  <si>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</si>
  <si>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</si>
  <si>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</si>
  <si>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</si>
  <si>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</si>
  <si>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</si>
  <si>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</si>
  <si>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</si>
  <si>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</si>
  <si>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</si>
  <si>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</si>
  <si>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</si>
  <si>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</si>
  <si>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</si>
  <si>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</si>
  <si>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</si>
  <si>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</si>
  <si>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</si>
  <si>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</si>
  <si>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</si>
  <si>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</si>
  <si>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</si>
  <si>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</si>
  <si>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</si>
  <si>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</si>
  <si>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</si>
  <si>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</si>
  <si>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</si>
  <si>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</si>
  <si>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</si>
  <si>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</si>
  <si>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</si>
  <si>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5/1</t>
  </si>
  <si>
    <t>Отчет об исполнении договора управления многоквартирного дома 
Румянцева, 5/1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</si>
  <si>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</si>
  <si>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</si>
  <si>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ежемесячно</t>
  </si>
  <si>
    <t>ежегодно</t>
  </si>
  <si>
    <t>площадь дома</t>
  </si>
  <si>
    <t xml:space="preserve">  -  замена освещения в подъезде на LED светильники</t>
  </si>
  <si>
    <t xml:space="preserve">  -  ремонт резервного частотного преобразователя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</si>
  <si>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</si>
  <si>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</si>
  <si>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</si>
  <si>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</si>
  <si>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</si>
  <si>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разово</t>
  </si>
  <si>
    <t>Приобретение новогодней елки и гирлянды.</t>
  </si>
  <si>
    <t>АВР 1/20 от 11.01.2020</t>
  </si>
  <si>
    <t>Замена стеклопакета на тамбурной двери.</t>
  </si>
  <si>
    <t>Замена кабеля системы видеонаблюдения в шахте лифта.</t>
  </si>
  <si>
    <t>Приобретение и установка таблички по пожарной безопасности.</t>
  </si>
  <si>
    <t>АВР 2/20 от 20.03.2020, Решение, счет №2015 от 19.01.2020</t>
  </si>
  <si>
    <t>Замена входной двери.</t>
  </si>
  <si>
    <t>АВР 3/20 от 20.02.2020, Решение, счет №3 от 23.01.2020</t>
  </si>
  <si>
    <t>Замена камеры системы видеонаблюдения в лифте.</t>
  </si>
  <si>
    <t>АВР 4/20 от 10.03.2020, Решение, счет №19 от 26.02.2020</t>
  </si>
  <si>
    <t>АВР 5/20 от 15.07.2020, Решение, счет №132 от 27.07.2020</t>
  </si>
  <si>
    <t>Частичная замена подъездного освещение.</t>
  </si>
  <si>
    <t>АВР 6/20 от 08.09.2020</t>
  </si>
  <si>
    <t>Ремонт подъезда (с 1-го по тех. этаж).</t>
  </si>
  <si>
    <t>АВР 7/20 от 14.12.2020, счет от 12.03.2020</t>
  </si>
  <si>
    <t>АВР 8/20 от 17.12.2020, Решение, счет от 20.10.2020</t>
  </si>
  <si>
    <t>АВР 9/20 от 31.12.2020</t>
  </si>
  <si>
    <t>АВР 10/20 от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</si>
</sst>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</cellStyleXfs>
  <cellXfs count="18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22" fillId="0" borderId="0" xfId="5" applyNumberFormat="1" applyFont="1" applyFill="1" applyBorder="1" applyAlignment="1"/>
    <xf numFmtId="1" fontId="8" fillId="0" borderId="0" xfId="5" applyNumberForma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4" fontId="14" fillId="0" borderId="0" xfId="0" applyNumberFormat="1" applyFont="1" applyBorder="1"/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/>
    <xf numFmtId="0" fontId="6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2" fillId="0" borderId="0" xfId="5" applyFont="1" applyFill="1" applyBorder="1"/>
    <xf numFmtId="0" fontId="2" fillId="0" borderId="0" xfId="5" applyFont="1" applyFill="1" applyBorder="1" applyAlignment="1">
      <alignment wrapText="1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9" fillId="0" borderId="0" xfId="4" applyFill="1" applyBorder="1" applyAlignment="1">
      <alignment horizontal="center"/>
    </xf>
    <xf numFmtId="0" fontId="1" fillId="0" borderId="0" xfId="5" applyFont="1" applyFill="1" applyBorder="1" applyAlignment="1">
      <alignment wrapText="1"/>
    </xf>
    <xf numFmtId="0" fontId="0" fillId="0" borderId="0" xfId="0" applyFill="1" applyBorder="1" applyAlignment="1"/>
    <xf numFmtId="0" fontId="1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8" fillId="0" borderId="0" xfId="5" applyFill="1" applyBorder="1" applyAlignment="1"/>
    <xf numFmtId="0" fontId="22" fillId="0" borderId="0" xfId="5" applyFont="1" applyFill="1" applyBorder="1" applyAlignment="1">
      <alignment horizontal="center"/>
    </xf>
    <xf numFmtId="4" fontId="8" fillId="0" borderId="0" xfId="5" applyNumberFormat="1" applyFill="1" applyBorder="1" applyAlignment="1"/>
    <xf numFmtId="0" fontId="22" fillId="0" borderId="0" xfId="5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8" t="s">
        <v>180</v>
      </c>
      <c r="B2" s="168"/>
      <c r="C2" s="168"/>
      <c r="D2" s="168"/>
      <c r="E2" s="168"/>
      <c r="F2" s="168"/>
      <c r="G2" s="168"/>
      <c r="H2" s="168"/>
      <c r="I2" s="168"/>
      <c r="J2" s="16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09"/>
      <c r="L8" s="169"/>
      <c r="M8" s="109"/>
      <c r="N8" s="109"/>
      <c r="O8" s="70" t="s">
        <v>86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09"/>
      <c r="L9" s="169"/>
      <c r="M9" s="109"/>
      <c r="N9" s="109"/>
      <c r="O9" s="70" t="s">
        <v>87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284368.09999999998</v>
      </c>
      <c r="K10" s="109"/>
      <c r="L10" s="169"/>
      <c r="M10" s="109"/>
      <c r="N10" s="109"/>
      <c r="O10" s="70" t="s">
        <v>88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586793.25999999978</v>
      </c>
      <c r="K11" s="109"/>
      <c r="L11" s="169"/>
      <c r="M11" s="109"/>
      <c r="N11" s="109"/>
      <c r="O11" s="70" t="s">
        <v>89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460154.85999999981</v>
      </c>
      <c r="K12" s="109"/>
      <c r="L12" s="169"/>
      <c r="M12" s="109"/>
      <c r="N12" s="109"/>
      <c r="O12" s="70" t="s">
        <v>90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126638.40000000001</v>
      </c>
      <c r="K13" s="109"/>
      <c r="L13" s="169"/>
      <c r="M13" s="109"/>
      <c r="N13" s="109"/>
      <c r="O13" s="70" t="s">
        <v>91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09"/>
      <c r="L14" s="169"/>
      <c r="M14" s="109"/>
      <c r="N14" s="109"/>
      <c r="O14" s="70" t="s">
        <v>92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561436.1399999999</v>
      </c>
      <c r="K15" s="109"/>
      <c r="L15" s="169"/>
      <c r="M15" s="109"/>
      <c r="N15" s="109"/>
      <c r="O15" s="70" t="s">
        <v>93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561436.1399999999</v>
      </c>
      <c r="K16" s="109"/>
      <c r="L16" s="169"/>
      <c r="M16" s="109"/>
      <c r="N16" s="109"/>
      <c r="O16" s="70" t="s">
        <v>94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09"/>
      <c r="L17" s="169"/>
      <c r="M17" s="109"/>
      <c r="N17" s="109"/>
      <c r="O17" s="70" t="s">
        <v>95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09"/>
      <c r="L18" s="169"/>
      <c r="M18" s="109"/>
      <c r="N18" s="109"/>
      <c r="O18" s="70" t="s">
        <v>96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09"/>
      <c r="L19" s="169"/>
      <c r="M19" s="109"/>
      <c r="N19" s="109"/>
      <c r="O19" s="70" t="s">
        <v>97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09"/>
      <c r="L20" s="169"/>
      <c r="M20" s="109"/>
      <c r="N20" s="109"/>
      <c r="O20" s="70" t="s">
        <v>98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561436.1399999999</v>
      </c>
      <c r="K21" s="109"/>
      <c r="L21" s="169"/>
      <c r="M21" s="109"/>
      <c r="N21" s="109"/>
      <c r="O21" s="70" t="s">
        <v>99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09"/>
      <c r="L22" s="169"/>
      <c r="M22" s="109"/>
      <c r="N22" s="109"/>
      <c r="O22" s="70" t="s">
        <v>100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09"/>
      <c r="L23" s="169"/>
      <c r="M23" s="109"/>
      <c r="N23" s="109"/>
      <c r="O23" s="70" t="s">
        <v>101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309725.21999999986</v>
      </c>
      <c r="K24" s="109"/>
      <c r="L24" s="169"/>
      <c r="M24" s="109"/>
      <c r="N24" s="109"/>
      <c r="O24" s="70" t="s">
        <v>102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1" t="s">
        <v>19</v>
      </c>
      <c r="B27" s="161"/>
      <c r="C27" s="161"/>
      <c r="D27" s="161"/>
      <c r="E27" s="161"/>
      <c r="F27" s="161" t="s">
        <v>20</v>
      </c>
      <c r="G27" s="161"/>
      <c r="H27" s="5" t="s">
        <v>57</v>
      </c>
      <c r="I27" s="161" t="s">
        <v>21</v>
      </c>
      <c r="J27" s="161"/>
      <c r="K27" s="109"/>
      <c r="L27" s="17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8">
        <f>VLOOKUP(A28,ПТО!$A$39:$D$53,2,FALSE)</f>
        <v>143193.60000000001</v>
      </c>
      <c r="G28" s="158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3" t="str">
        <f>ПТО!A40</f>
        <v>Работы по содержанию лифта (лифтов)</v>
      </c>
      <c r="B29" s="153"/>
      <c r="C29" s="153"/>
      <c r="D29" s="153"/>
      <c r="E29" s="153"/>
      <c r="F29" s="158">
        <f>VLOOKUP(A29,ПТО!$A$39:$D$53,2,FALSE)</f>
        <v>53856</v>
      </c>
      <c r="G29" s="158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09"/>
      <c r="L29" s="17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8">
        <f>VLOOKUP(A30,ПТО!$A$39:$D$53,2,FALSE)</f>
        <v>43084.800000000003</v>
      </c>
      <c r="G30" s="158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8">
        <f>VLOOKUP(A31,ПТО!$A$39:$D$53,2,FALSE)</f>
        <v>38016</v>
      </c>
      <c r="G31" s="158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8">
        <f>VLOOKUP(A33,ПТО!$A$39:$D$53,2,FALSE)</f>
        <v>12355.2</v>
      </c>
      <c r="G33" s="158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8">
        <f>VLOOKUP(A34,ПТО!$A$39:$D$53,2,FALSE)</f>
        <v>54489.599999999999</v>
      </c>
      <c r="G34" s="158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3"/>
      <c r="C35" s="153"/>
      <c r="D35" s="153"/>
      <c r="E35" s="153"/>
      <c r="F35" s="158">
        <f>VLOOKUP(A35,ПТО!$A$39:$D$53,2,FALSE)</f>
        <v>126403.2</v>
      </c>
      <c r="G35" s="158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09"/>
      <c r="L35" s="170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3">
        <f>ПТО!A47</f>
        <v>0</v>
      </c>
      <c r="B36" s="153"/>
      <c r="C36" s="153"/>
      <c r="D36" s="153"/>
      <c r="E36" s="153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09"/>
      <c r="L36" s="170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0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0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0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0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0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0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3" t="str">
        <f>ПТО!A2</f>
        <v>Техническое обслуживание системы видеонаблюдения.</v>
      </c>
      <c r="B43" s="153"/>
      <c r="C43" s="153"/>
      <c r="D43" s="153"/>
      <c r="E43" s="153"/>
      <c r="F43" s="158">
        <f>VLOOKUP(A43,ПТО!$A$2:$D$31,4,FALSE)</f>
        <v>18000</v>
      </c>
      <c r="G43" s="158"/>
      <c r="H43" s="19" t="str">
        <f>VLOOKUP(A43,ПТО!$A$2:$D$31,2,FALSE)</f>
        <v>ежемесячно</v>
      </c>
      <c r="I43" s="154">
        <f>VLOOKUP(A43,ПТО!$A$2:$D$31,3,FALSE)</f>
        <v>12</v>
      </c>
      <c r="J43" s="154"/>
      <c r="K43" s="109"/>
      <c r="L43" s="170"/>
      <c r="M43" s="116"/>
      <c r="N43" s="109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53" t="str">
        <f>ПТО!A3</f>
        <v>Техническое освидетельствование лифта.</v>
      </c>
      <c r="B44" s="153"/>
      <c r="C44" s="153"/>
      <c r="D44" s="153"/>
      <c r="E44" s="153"/>
      <c r="F44" s="158">
        <f>VLOOKUP(A44,ПТО!$A$2:$D$31,4,FALSE)</f>
        <v>8100</v>
      </c>
      <c r="G44" s="158"/>
      <c r="H44" s="25" t="str">
        <f>VLOOKUP(A44,ПТО!$A$2:$D$31,2,FALSE)</f>
        <v>ежегодно</v>
      </c>
      <c r="I44" s="154">
        <f>VLOOKUP(A44,ПТО!$A$2:$D$31,3,FALSE)</f>
        <v>1</v>
      </c>
      <c r="J44" s="154"/>
      <c r="K44" s="109"/>
      <c r="L44" s="170"/>
      <c r="M44" s="116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53" t="str">
        <f>ПТО!A4</f>
        <v>Приобретение новогодней елки и гирлянды.</v>
      </c>
      <c r="B45" s="153"/>
      <c r="C45" s="153"/>
      <c r="D45" s="153"/>
      <c r="E45" s="153"/>
      <c r="F45" s="158">
        <f>VLOOKUP(A45,ПТО!$A$2:$D$31,4,FALSE)</f>
        <v>1345</v>
      </c>
      <c r="G45" s="158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0"/>
      <c r="M45" s="116"/>
      <c r="N45" s="109"/>
      <c r="O45" s="23" t="str">
        <f t="shared" si="1"/>
        <v>Приобретение новогодней елки и гирлянды.</v>
      </c>
      <c r="R45" s="22" t="s">
        <v>72</v>
      </c>
    </row>
    <row r="46" spans="1:18" ht="51" customHeight="1" outlineLevel="1">
      <c r="A46" s="153" t="str">
        <f>ПТО!A5</f>
        <v>Замена стеклопакета на тамбурной двери.</v>
      </c>
      <c r="B46" s="153"/>
      <c r="C46" s="153"/>
      <c r="D46" s="153"/>
      <c r="E46" s="153"/>
      <c r="F46" s="158">
        <f>VLOOKUP(A46,ПТО!$A$2:$D$31,4,FALSE)</f>
        <v>4096.78</v>
      </c>
      <c r="G46" s="158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0"/>
      <c r="M46" s="116"/>
      <c r="N46" s="109"/>
      <c r="O46" s="23" t="str">
        <f t="shared" si="1"/>
        <v>Замена стеклопакета на тамбурной двери.</v>
      </c>
      <c r="R46" s="22" t="s">
        <v>72</v>
      </c>
    </row>
    <row r="47" spans="1:18" ht="51" customHeight="1" outlineLevel="1">
      <c r="A47" s="153" t="str">
        <f>ПТО!A6</f>
        <v>Замена камеры системы видеонаблюдения в лифте.</v>
      </c>
      <c r="B47" s="153"/>
      <c r="C47" s="153"/>
      <c r="D47" s="153"/>
      <c r="E47" s="153"/>
      <c r="F47" s="158">
        <f>VLOOKUP(A47,ПТО!$A$2:$D$31,4,FALSE)</f>
        <v>4200</v>
      </c>
      <c r="G47" s="158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0"/>
      <c r="M47" s="116"/>
      <c r="N47" s="109"/>
      <c r="O47" s="23" t="str">
        <f t="shared" si="1"/>
        <v>Замена камеры системы видеонаблюдения в лифте.</v>
      </c>
      <c r="R47" s="22" t="s">
        <v>72</v>
      </c>
    </row>
    <row r="48" spans="1:18" ht="51" customHeight="1" outlineLevel="1">
      <c r="A48" s="153" t="str">
        <f>ПТО!A7</f>
        <v>Замена кабеля системы видеонаблюдения в шахте лифта.</v>
      </c>
      <c r="B48" s="153"/>
      <c r="C48" s="153"/>
      <c r="D48" s="153"/>
      <c r="E48" s="153"/>
      <c r="F48" s="158">
        <f>VLOOKUP(A48,ПТО!$A$2:$D$31,4,FALSE)</f>
        <v>1260</v>
      </c>
      <c r="G48" s="158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0"/>
      <c r="M48" s="116"/>
      <c r="N48" s="109"/>
      <c r="O48" s="23" t="str">
        <f t="shared" si="1"/>
        <v>Замена кабеля системы видеонаблюдения в шахте лифта.</v>
      </c>
      <c r="R48" s="22" t="s">
        <v>72</v>
      </c>
    </row>
    <row r="49" spans="1:18" ht="51" customHeight="1" outlineLevel="1">
      <c r="A49" s="153" t="str">
        <f>ПТО!A8</f>
        <v>Замена входной двери.</v>
      </c>
      <c r="B49" s="153"/>
      <c r="C49" s="153"/>
      <c r="D49" s="153"/>
      <c r="E49" s="153"/>
      <c r="F49" s="158">
        <f>VLOOKUP(A49,ПТО!$A$2:$D$31,4,FALSE)</f>
        <v>28900</v>
      </c>
      <c r="G49" s="158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0"/>
      <c r="M49" s="116"/>
      <c r="N49" s="109"/>
      <c r="O49" s="23" t="str">
        <f t="shared" si="1"/>
        <v>Замена входной двери.</v>
      </c>
      <c r="R49" s="22" t="s">
        <v>72</v>
      </c>
    </row>
    <row r="50" spans="1:18" ht="51" customHeight="1" outlineLevel="1">
      <c r="A50" s="153" t="str">
        <f>ПТО!A9</f>
        <v>Частичная замена подъездного освещение.</v>
      </c>
      <c r="B50" s="153"/>
      <c r="C50" s="153"/>
      <c r="D50" s="153"/>
      <c r="E50" s="153"/>
      <c r="F50" s="158">
        <f>VLOOKUP(A50,ПТО!$A$2:$D$31,4,FALSE)</f>
        <v>40767.339999999997</v>
      </c>
      <c r="G50" s="158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09"/>
      <c r="L50" s="170"/>
      <c r="M50" s="116"/>
      <c r="N50" s="109"/>
      <c r="O50" s="23" t="str">
        <f t="shared" si="1"/>
        <v>Частичная замена подъездного освещение.</v>
      </c>
      <c r="R50" s="22" t="s">
        <v>72</v>
      </c>
    </row>
    <row r="51" spans="1:18" ht="51" customHeight="1" outlineLevel="1">
      <c r="A51" s="153" t="str">
        <f>ПТО!A10</f>
        <v>Приобретение и установка таблички по пожарной безопасности.</v>
      </c>
      <c r="B51" s="153"/>
      <c r="C51" s="153"/>
      <c r="D51" s="153"/>
      <c r="E51" s="153"/>
      <c r="F51" s="158">
        <f>VLOOKUP(A51,ПТО!$A$2:$D$31,4,FALSE)</f>
        <v>250</v>
      </c>
      <c r="G51" s="158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09"/>
      <c r="L51" s="170"/>
      <c r="M51" s="116"/>
      <c r="N51" s="109"/>
      <c r="O51" s="23" t="str">
        <f t="shared" si="1"/>
        <v>Приобретение и установка таблички по пожарной безопасности.</v>
      </c>
      <c r="R51" s="22" t="s">
        <v>72</v>
      </c>
    </row>
    <row r="52" spans="1:18" ht="51" customHeight="1" outlineLevel="1">
      <c r="A52" s="153" t="str">
        <f>ПТО!A11</f>
        <v>Ремонт подъезда (с 1-го по тех. этаж).</v>
      </c>
      <c r="B52" s="153"/>
      <c r="C52" s="153"/>
      <c r="D52" s="153"/>
      <c r="E52" s="153"/>
      <c r="F52" s="158">
        <f>VLOOKUP(A52,ПТО!$A$2:$D$31,4,FALSE)</f>
        <v>218097</v>
      </c>
      <c r="G52" s="158"/>
      <c r="H52" s="25" t="str">
        <f>VLOOKUP(A52,ПТО!$A$2:$D$31,2,FALSE)</f>
        <v>разово</v>
      </c>
      <c r="I52" s="154">
        <f>VLOOKUP(A52,ПТО!$A$2:$D$31,3,FALSE)</f>
        <v>1</v>
      </c>
      <c r="J52" s="154"/>
      <c r="K52" s="109"/>
      <c r="L52" s="170"/>
      <c r="M52" s="116"/>
      <c r="N52" s="109"/>
      <c r="O52" s="23" t="str">
        <f t="shared" si="1"/>
        <v>Ремонт подъезда (с 1-го по тех. этаж).</v>
      </c>
      <c r="R52" s="22" t="s">
        <v>72</v>
      </c>
    </row>
    <row r="53" spans="1:18" ht="51" hidden="1" customHeight="1" outlineLevel="1">
      <c r="A53" s="153">
        <f>ПТО!A12</f>
        <v>0</v>
      </c>
      <c r="B53" s="153"/>
      <c r="C53" s="153"/>
      <c r="D53" s="153"/>
      <c r="E53" s="153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0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3">
        <f>ПТО!A13</f>
        <v>0</v>
      </c>
      <c r="B54" s="153"/>
      <c r="C54" s="153"/>
      <c r="D54" s="153"/>
      <c r="E54" s="153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0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0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0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0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0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0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0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0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0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0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0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0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0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0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0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0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0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0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178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09"/>
      <c r="L75" s="173"/>
      <c r="M75" s="109"/>
      <c r="N75" s="109"/>
      <c r="O75" s="70" t="s">
        <v>103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09"/>
      <c r="L76" s="173"/>
      <c r="M76" s="109"/>
      <c r="N76" s="109"/>
      <c r="O76" s="70" t="s">
        <v>104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09"/>
      <c r="L77" s="173"/>
      <c r="M77" s="109"/>
      <c r="N77" s="109"/>
      <c r="O77" s="70" t="s">
        <v>105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7">
        <f>VLOOKUP(O78,АО,3,FALSE)</f>
        <v>0</v>
      </c>
      <c r="K78" s="109"/>
      <c r="L78" s="173"/>
      <c r="M78" s="109"/>
      <c r="N78" s="109"/>
      <c r="O78" s="70" t="s">
        <v>106</v>
      </c>
    </row>
    <row r="79" spans="1:16384">
      <c r="A79" s="115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7">
        <f t="shared" ref="J81:J90" si="2">VLOOKUP(O81,АО,3,FALSE)</f>
        <v>0</v>
      </c>
      <c r="K81" s="109"/>
      <c r="L81" s="159"/>
      <c r="M81" s="109"/>
      <c r="N81" s="109"/>
      <c r="O81" s="70" t="s">
        <v>107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7">
        <f t="shared" si="2"/>
        <v>0</v>
      </c>
      <c r="K82" s="109"/>
      <c r="L82" s="159"/>
      <c r="M82" s="109"/>
      <c r="N82" s="109"/>
      <c r="O82" s="70" t="s">
        <v>108</v>
      </c>
    </row>
    <row r="83" spans="1:15" outlineLevel="1">
      <c r="A83" s="165" t="s">
        <v>4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170007.64</v>
      </c>
      <c r="K83" s="109"/>
      <c r="L83" s="159"/>
      <c r="M83" s="109"/>
      <c r="N83" s="109"/>
      <c r="O83" s="70" t="s">
        <v>109</v>
      </c>
    </row>
    <row r="84" spans="1:15" outlineLevel="1">
      <c r="A84" s="165" t="s">
        <v>16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59"/>
      <c r="M84" s="109"/>
      <c r="N84" s="109"/>
      <c r="O84" s="70" t="s">
        <v>110</v>
      </c>
    </row>
    <row r="85" spans="1:15" outlineLevel="1">
      <c r="A85" s="165" t="s">
        <v>17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59"/>
      <c r="M85" s="109"/>
      <c r="N85" s="109"/>
      <c r="O85" s="70" t="s">
        <v>111</v>
      </c>
    </row>
    <row r="86" spans="1:15" outlineLevel="1">
      <c r="A86" s="165" t="s">
        <v>18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208941</v>
      </c>
      <c r="K86" s="109"/>
      <c r="L86" s="159"/>
      <c r="M86" s="109"/>
      <c r="N86" s="109"/>
      <c r="O86" s="70" t="s">
        <v>112</v>
      </c>
    </row>
    <row r="87" spans="1:15" ht="18.75" customHeight="1" outlineLevel="1">
      <c r="A87" s="165" t="s">
        <v>27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09"/>
      <c r="L87" s="159"/>
      <c r="M87" s="109"/>
      <c r="N87" s="109"/>
      <c r="O87" s="70" t="s">
        <v>113</v>
      </c>
    </row>
    <row r="88" spans="1:15" ht="18.75" customHeight="1" outlineLevel="1">
      <c r="A88" s="165" t="s">
        <v>28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09"/>
      <c r="L88" s="159"/>
      <c r="M88" s="109"/>
      <c r="N88" s="109"/>
      <c r="O88" s="70" t="s">
        <v>114</v>
      </c>
    </row>
    <row r="89" spans="1:15" ht="18.75" customHeight="1" outlineLevel="1">
      <c r="A89" s="165" t="s">
        <v>29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09"/>
      <c r="L89" s="159"/>
      <c r="M89" s="109"/>
      <c r="N89" s="109"/>
      <c r="O89" s="70" t="s">
        <v>115</v>
      </c>
    </row>
    <row r="90" spans="1:15" ht="18.75" customHeight="1" outlineLevel="1">
      <c r="A90" s="165" t="s">
        <v>30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59"/>
      <c r="M90" s="109"/>
      <c r="N90" s="109"/>
      <c r="O90" s="70" t="s">
        <v>116</v>
      </c>
    </row>
    <row r="91" spans="1:15">
      <c r="A91" s="104" t="s">
        <v>178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4" t="s">
        <v>48</v>
      </c>
      <c r="B93" s="174"/>
      <c r="C93" s="174"/>
      <c r="D93" s="175" t="s">
        <v>49</v>
      </c>
      <c r="E93" s="175"/>
      <c r="F93" s="10" t="s">
        <v>50</v>
      </c>
      <c r="G93" s="174" t="s">
        <v>51</v>
      </c>
      <c r="H93" s="174"/>
      <c r="I93" s="174"/>
      <c r="J93" s="174"/>
      <c r="K93" s="109"/>
      <c r="L93" s="109"/>
      <c r="M93" s="109"/>
      <c r="N93" s="109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7">
        <f>VLOOKUP("эл",АО,5,FALSE)</f>
        <v>127886.79999999997</v>
      </c>
      <c r="H94" s="156"/>
      <c r="I94" s="156"/>
      <c r="J94" s="156"/>
      <c r="K94" s="1" t="str">
        <f>VLOOKUP("эл",АО,2,FALSE)</f>
        <v>Электроснабжение</v>
      </c>
      <c r="L94" s="160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112181.40350877191</v>
      </c>
      <c r="L95" s="160"/>
      <c r="O95" s="1" t="s">
        <v>117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111202.68999999999</v>
      </c>
      <c r="L96" s="160"/>
      <c r="O96" s="1" t="s">
        <v>118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16684.109999999986</v>
      </c>
      <c r="L97" s="160"/>
      <c r="O97" s="1" t="s">
        <v>119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127886.79999999997</v>
      </c>
      <c r="L98" s="160"/>
      <c r="O98" s="1" t="s">
        <v>120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127886.79999999997</v>
      </c>
      <c r="L99" s="160"/>
      <c r="O99" s="1" t="s">
        <v>121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60"/>
      <c r="O100" s="1" t="s">
        <v>122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60"/>
      <c r="O101" s="1" t="s">
        <v>123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7">
        <f>VLOOKUP("хвс",АО,5,FALSE)</f>
        <v>74759.760000000009</v>
      </c>
      <c r="H102" s="156"/>
      <c r="I102" s="156"/>
      <c r="J102" s="156"/>
      <c r="L102" s="160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5525.4811529933495</v>
      </c>
      <c r="L103" s="160"/>
      <c r="O103" s="1" t="s">
        <v>126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65873.540000000008</v>
      </c>
      <c r="L104" s="160"/>
      <c r="O104" s="1" t="s">
        <v>127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8886.2200000000012</v>
      </c>
      <c r="L105" s="160"/>
      <c r="O105" s="1" t="s">
        <v>128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74759.760000000009</v>
      </c>
      <c r="L106" s="160"/>
      <c r="O106" s="1" t="s">
        <v>129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74759.760000000009</v>
      </c>
      <c r="L107" s="160"/>
      <c r="O107" s="1" t="s">
        <v>130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60"/>
      <c r="O108" s="1" t="s">
        <v>131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60"/>
      <c r="O109" s="1" t="s">
        <v>132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7">
        <f>VLOOKUP("воо",АО,5,FALSE)</f>
        <v>89082.449999999983</v>
      </c>
      <c r="H110" s="156"/>
      <c r="I110" s="156"/>
      <c r="J110" s="156"/>
      <c r="L110" s="160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5773.3279325988324</v>
      </c>
      <c r="L111" s="160"/>
      <c r="O111" s="1" t="s">
        <v>134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77687.550000000017</v>
      </c>
      <c r="L112" s="160"/>
      <c r="O112" s="1" t="s">
        <v>135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11394.899999999965</v>
      </c>
      <c r="L113" s="160"/>
      <c r="O113" s="1" t="s">
        <v>136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89082.449999999983</v>
      </c>
      <c r="L114" s="160"/>
      <c r="O114" s="1" t="s">
        <v>137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89082.449999999983</v>
      </c>
      <c r="L115" s="160"/>
      <c r="O115" s="1" t="s">
        <v>138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0"/>
      <c r="O116" s="1" t="s">
        <v>139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0"/>
      <c r="O117" s="1" t="s">
        <v>140</v>
      </c>
    </row>
    <row r="118" spans="1:15" ht="32.25" customHeight="1" outlineLevel="1">
      <c r="A118" s="155" t="str">
        <f>IF(VLOOKUP("тко",АО,3,FALSE)&gt;0,"Обращение с ТКО",0)</f>
        <v>Обращение с ТКО</v>
      </c>
      <c r="B118" s="155"/>
      <c r="C118" s="155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7">
        <f>VLOOKUP("тко",АО,5,FALSE)</f>
        <v>116549.66999999998</v>
      </c>
      <c r="H118" s="156"/>
      <c r="I118" s="156"/>
      <c r="J118" s="156"/>
      <c r="L118" s="47"/>
    </row>
    <row r="119" spans="1:15" ht="32.25" customHeight="1" outlineLevel="2">
      <c r="A119" s="151" t="str">
        <f t="shared" ref="A119:A125" si="8">IF(VLOOKUP("тко",АО,3,FALSE)&gt;0,VLOOKUP(O119,АО,2,FALSE),0)</f>
        <v>Общий объем потребления, нат. показ.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205.58760649838598</v>
      </c>
      <c r="L119" s="47"/>
      <c r="O119" s="1" t="s">
        <v>142</v>
      </c>
    </row>
    <row r="120" spans="1:15" ht="32.25" customHeight="1" outlineLevel="2">
      <c r="A120" s="151" t="str">
        <f t="shared" si="8"/>
        <v>Оплачено потребителями, руб.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101828.90000000001</v>
      </c>
      <c r="L120" s="47"/>
      <c r="O120" s="1" t="s">
        <v>143</v>
      </c>
    </row>
    <row r="121" spans="1:15" ht="32.25" customHeight="1" outlineLevel="2">
      <c r="A121" s="151" t="str">
        <f t="shared" si="8"/>
        <v>Задолженность потребителей, руб.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14720.769999999975</v>
      </c>
      <c r="L121" s="47"/>
      <c r="O121" s="1" t="s">
        <v>144</v>
      </c>
    </row>
    <row r="122" spans="1:15" ht="32.25" customHeight="1" outlineLevel="2">
      <c r="A122" s="151" t="str">
        <f t="shared" si="8"/>
        <v>Начислено поставщиком (поставщиками) коммунального ресурса, руб.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116549.66999999998</v>
      </c>
      <c r="L122" s="47"/>
      <c r="O122" s="1" t="s">
        <v>145</v>
      </c>
    </row>
    <row r="123" spans="1:15" ht="32.25" customHeight="1" outlineLevel="2">
      <c r="A123" s="151" t="str">
        <f t="shared" si="8"/>
        <v>Оплачено поставщику (поставщикам) коммунального ресурса, руб.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116549.66999999998</v>
      </c>
      <c r="L123" s="47"/>
      <c r="O123" s="1" t="s">
        <v>146</v>
      </c>
    </row>
    <row r="124" spans="1:15" ht="32.25" customHeight="1" outlineLevel="2">
      <c r="A124" s="151" t="str">
        <f t="shared" si="8"/>
        <v>Задолженность перед поставщиком (поставщиками) коммунального ресурса, руб.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7"/>
      <c r="O124" s="1" t="s">
        <v>147</v>
      </c>
    </row>
    <row r="125" spans="1:15" ht="32.25" customHeight="1" outlineLevel="2">
      <c r="A125" s="151" t="str">
        <f t="shared" si="8"/>
        <v>Размер пени и штрафов, уплаченных поставщику (поставщикам) коммунального ресурса, руб.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7"/>
      <c r="O125" s="1" t="s">
        <v>148</v>
      </c>
    </row>
    <row r="126" spans="1:15" ht="32.25" hidden="1" customHeight="1" outlineLevel="1">
      <c r="A126" s="155">
        <f>IF(VLOOKUP("гвс",АО,3,FALSE)&gt;0,"Горячее водоснабжение",0)</f>
        <v>0</v>
      </c>
      <c r="B126" s="155"/>
      <c r="C126" s="155"/>
      <c r="D126" s="156">
        <f>IF(VLOOKUP("гвс",АО,3,FALSE)&gt;0,VLOOKUP("гвс",АО,3,FALSE),0)</f>
        <v>0</v>
      </c>
      <c r="E126" s="156"/>
      <c r="F126" s="13">
        <f>IF(VLOOKUP("гвс",АО,3,FALSE)&gt;0,VLOOKUP("гвс",АО,4,FALSE),0)</f>
        <v>0</v>
      </c>
      <c r="G126" s="157">
        <f>VLOOKUP("гвс",АО,5,FALSE)</f>
        <v>0</v>
      </c>
      <c r="H126" s="156"/>
      <c r="I126" s="156"/>
      <c r="J126" s="156"/>
      <c r="L126" s="47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7"/>
      <c r="O127" s="1" t="s">
        <v>150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7"/>
      <c r="O128" s="1" t="s">
        <v>151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7"/>
      <c r="O129" s="1" t="s">
        <v>152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7"/>
      <c r="O130" s="1" t="s">
        <v>153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7"/>
      <c r="O131" s="1" t="s">
        <v>154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7"/>
      <c r="O132" s="1" t="s">
        <v>155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7"/>
      <c r="O133" s="1" t="s">
        <v>156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6"/>
      <c r="I134" s="156"/>
      <c r="J134" s="156"/>
      <c r="L134" s="47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7"/>
      <c r="O135" s="1" t="s">
        <v>158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7"/>
      <c r="O136" s="1" t="s">
        <v>159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7"/>
      <c r="O137" s="1" t="s">
        <v>160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7"/>
      <c r="O138" s="1" t="s">
        <v>161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7"/>
      <c r="O139" s="1" t="s">
        <v>162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7"/>
      <c r="O140" s="1" t="s">
        <v>163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7"/>
      <c r="O141" s="1" t="s">
        <v>164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174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4</v>
      </c>
      <c r="L145" s="15"/>
      <c r="O145" t="s">
        <v>175</v>
      </c>
    </row>
    <row r="146" spans="1:15" ht="30" customHeight="1" outlineLevel="1">
      <c r="A146" s="151" t="s">
        <v>177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172947.6</v>
      </c>
      <c r="O146" t="s">
        <v>176</v>
      </c>
    </row>
    <row r="149" spans="1:15" ht="52.5" customHeight="1">
      <c r="A149" s="176" t="s">
        <v>181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8" t="s">
        <v>189</v>
      </c>
      <c r="B154" s="178"/>
      <c r="C154" s="178"/>
      <c r="D154" s="178"/>
      <c r="E154" s="27">
        <f>ПТО!G1</f>
        <v>-227749.86</v>
      </c>
    </row>
    <row r="155" spans="1:15" ht="34.5" customHeight="1">
      <c r="A155" s="177" t="s">
        <v>193</v>
      </c>
      <c r="B155" s="177"/>
      <c r="C155" s="177"/>
      <c r="D155" s="177"/>
      <c r="E155" s="28">
        <f>J13</f>
        <v>126638.40000000001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19</v>
      </c>
      <c r="B157" s="161"/>
      <c r="C157" s="161"/>
      <c r="D157" s="161"/>
      <c r="E157" s="161"/>
      <c r="F157" s="161" t="s">
        <v>20</v>
      </c>
      <c r="G157" s="161"/>
      <c r="H157" s="20" t="s">
        <v>57</v>
      </c>
      <c r="I157" s="161" t="s">
        <v>21</v>
      </c>
      <c r="J157" s="161"/>
    </row>
    <row r="158" spans="1:15" ht="29.25" customHeight="1">
      <c r="A158" s="153" t="str">
        <f t="shared" ref="A158:A163" si="14">IF(N158&gt;0,N158,0)</f>
        <v>Техническое обслуживание системы видеонаблюдения.</v>
      </c>
      <c r="B158" s="153"/>
      <c r="C158" s="153"/>
      <c r="D158" s="153"/>
      <c r="E158" s="153"/>
      <c r="F158" s="158">
        <f t="shared" ref="F158:F163" si="15">IF(ISERROR(VLOOKUP(A158,$A$28:$J$72,6,FALSE)),0,VLOOKUP(A158,$A$28:$J$72,6,FALSE))</f>
        <v>18000</v>
      </c>
      <c r="G158" s="158"/>
      <c r="H158" s="24" t="str">
        <f t="shared" ref="H158:H187" si="16">VLOOKUP(A158,$A$28:$J$72,8,FALSE)</f>
        <v>ежемесячно</v>
      </c>
      <c r="I158" s="154">
        <f t="shared" ref="I158:I161" si="17">VLOOKUP(A158,$A$28:$J$72,9,FALSE)</f>
        <v>12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53" t="str">
        <f t="shared" si="14"/>
        <v>Техническое освидетельствование лифта.</v>
      </c>
      <c r="B159" s="153"/>
      <c r="C159" s="153"/>
      <c r="D159" s="153"/>
      <c r="E159" s="153"/>
      <c r="F159" s="158">
        <f t="shared" si="15"/>
        <v>8100</v>
      </c>
      <c r="G159" s="158"/>
      <c r="H159" s="24" t="str">
        <f t="shared" si="16"/>
        <v>ежегодно</v>
      </c>
      <c r="I159" s="154">
        <f t="shared" si="17"/>
        <v>1</v>
      </c>
      <c r="J159" s="154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53" t="str">
        <f t="shared" si="14"/>
        <v>Приобретение новогодней елки и гирлянды.</v>
      </c>
      <c r="B160" s="153"/>
      <c r="C160" s="153"/>
      <c r="D160" s="153"/>
      <c r="E160" s="153"/>
      <c r="F160" s="158">
        <f t="shared" si="15"/>
        <v>1345</v>
      </c>
      <c r="G160" s="158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Приобретение новогодней елки и гирлянды.</v>
      </c>
    </row>
    <row r="161" spans="1:14" ht="28.5" customHeight="1">
      <c r="A161" s="153" t="str">
        <f>IF(N161&gt;0,N161,0)</f>
        <v>Замена стеклопакета на тамбурной двери.</v>
      </c>
      <c r="B161" s="153"/>
      <c r="C161" s="153"/>
      <c r="D161" s="153"/>
      <c r="E161" s="153"/>
      <c r="F161" s="158">
        <f t="shared" si="15"/>
        <v>4096.78</v>
      </c>
      <c r="G161" s="158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Замена стеклопакета на тамбурной двери.</v>
      </c>
    </row>
    <row r="162" spans="1:14" ht="28.5" customHeight="1">
      <c r="A162" s="153" t="str">
        <f t="shared" si="14"/>
        <v>Замена камеры системы видеонаблюдения в лифте.</v>
      </c>
      <c r="B162" s="153"/>
      <c r="C162" s="153"/>
      <c r="D162" s="153"/>
      <c r="E162" s="153"/>
      <c r="F162" s="158">
        <f t="shared" si="15"/>
        <v>4200</v>
      </c>
      <c r="G162" s="158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Замена камеры системы видеонаблюдения в лифте.</v>
      </c>
    </row>
    <row r="163" spans="1:14" ht="28.5" customHeight="1">
      <c r="A163" s="153" t="str">
        <f t="shared" si="14"/>
        <v>Замена кабеля системы видеонаблюдения в шахте лифта.</v>
      </c>
      <c r="B163" s="153"/>
      <c r="C163" s="153"/>
      <c r="D163" s="153"/>
      <c r="E163" s="153"/>
      <c r="F163" s="158">
        <f t="shared" si="15"/>
        <v>1260</v>
      </c>
      <c r="G163" s="158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Замена кабеля системы видеонаблюдения в шахте лифта.</v>
      </c>
    </row>
    <row r="164" spans="1:14" ht="28.5" customHeight="1">
      <c r="A164" s="153" t="str">
        <f t="shared" ref="A164:A187" si="18">IF(N164&gt;0,N164,0)</f>
        <v>Замена входной двери.</v>
      </c>
      <c r="B164" s="153"/>
      <c r="C164" s="153"/>
      <c r="D164" s="153"/>
      <c r="E164" s="153"/>
      <c r="F164" s="158">
        <f t="shared" ref="F164:F187" si="19">IF(ISERROR(VLOOKUP(A164,$A$28:$J$72,6,FALSE)),0,VLOOKUP(A164,$A$28:$J$72,6,FALSE))</f>
        <v>28900</v>
      </c>
      <c r="G164" s="158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Замена входной двери.</v>
      </c>
    </row>
    <row r="165" spans="1:14" ht="28.5" customHeight="1">
      <c r="A165" s="153" t="str">
        <f t="shared" si="18"/>
        <v>Частичная замена подъездного освещение.</v>
      </c>
      <c r="B165" s="153"/>
      <c r="C165" s="153"/>
      <c r="D165" s="153"/>
      <c r="E165" s="153"/>
      <c r="F165" s="158">
        <f t="shared" si="19"/>
        <v>40767.339999999997</v>
      </c>
      <c r="G165" s="158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Частичная замена подъездного освещение.</v>
      </c>
    </row>
    <row r="166" spans="1:14" ht="28.5" customHeight="1">
      <c r="A166" s="153" t="str">
        <f t="shared" si="18"/>
        <v>Приобретение и установка таблички по пожарной безопасности.</v>
      </c>
      <c r="B166" s="153"/>
      <c r="C166" s="153"/>
      <c r="D166" s="153"/>
      <c r="E166" s="153"/>
      <c r="F166" s="158">
        <f t="shared" si="19"/>
        <v>250</v>
      </c>
      <c r="G166" s="158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Приобретение и установка таблички по пожарной безопасности.</v>
      </c>
    </row>
    <row r="167" spans="1:14" ht="28.5" customHeight="1">
      <c r="A167" s="153" t="str">
        <f t="shared" si="18"/>
        <v>Ремонт подъезда (с 1-го по тех. этаж).</v>
      </c>
      <c r="B167" s="153"/>
      <c r="C167" s="153"/>
      <c r="D167" s="153"/>
      <c r="E167" s="153"/>
      <c r="F167" s="158">
        <f t="shared" si="19"/>
        <v>218097</v>
      </c>
      <c r="G167" s="158"/>
      <c r="H167" s="29" t="str">
        <f t="shared" si="16"/>
        <v>разово</v>
      </c>
      <c r="I167" s="154">
        <f t="shared" si="20"/>
        <v>1</v>
      </c>
      <c r="J167" s="154"/>
      <c r="M167" s="22" t="s">
        <v>72</v>
      </c>
      <c r="N167" s="1" t="str">
        <v>Ремонт подъезда (с 1-го по тех. этаж).</v>
      </c>
    </row>
    <row r="168" spans="1:14" ht="28.5" hidden="1" customHeight="1">
      <c r="A168" s="153">
        <f t="shared" si="18"/>
        <v>0</v>
      </c>
      <c r="B168" s="153"/>
      <c r="C168" s="153"/>
      <c r="D168" s="153"/>
      <c r="E168" s="153"/>
      <c r="F168" s="158">
        <f t="shared" si="19"/>
        <v>0</v>
      </c>
      <c r="G168" s="158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3">
        <f t="shared" si="18"/>
        <v>0</v>
      </c>
      <c r="B169" s="153"/>
      <c r="C169" s="153"/>
      <c r="D169" s="153"/>
      <c r="E169" s="153"/>
      <c r="F169" s="158">
        <f t="shared" si="19"/>
        <v>0</v>
      </c>
      <c r="G169" s="158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8">
        <f t="shared" si="19"/>
        <v>0</v>
      </c>
      <c r="G170" s="158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8">
        <f t="shared" si="19"/>
        <v>0</v>
      </c>
      <c r="G171" s="158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8">
        <f t="shared" si="19"/>
        <v>0</v>
      </c>
      <c r="G172" s="158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8">
        <f t="shared" si="19"/>
        <v>0</v>
      </c>
      <c r="G173" s="158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8">
        <f t="shared" si="19"/>
        <v>0</v>
      </c>
      <c r="G174" s="158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8">
        <f t="shared" si="19"/>
        <v>0</v>
      </c>
      <c r="G175" s="158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8">
        <f t="shared" si="19"/>
        <v>0</v>
      </c>
      <c r="G176" s="158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8">
        <f t="shared" si="19"/>
        <v>0</v>
      </c>
      <c r="G177" s="158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8">
        <f t="shared" si="19"/>
        <v>0</v>
      </c>
      <c r="G178" s="158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8">
        <f t="shared" si="19"/>
        <v>0</v>
      </c>
      <c r="G179" s="158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8">
        <f t="shared" si="19"/>
        <v>0</v>
      </c>
      <c r="G180" s="158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8">
        <f t="shared" si="19"/>
        <v>0</v>
      </c>
      <c r="G181" s="158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8">
        <f t="shared" si="19"/>
        <v>0</v>
      </c>
      <c r="G182" s="158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8">
        <f t="shared" si="19"/>
        <v>0</v>
      </c>
      <c r="G183" s="158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8">
        <f t="shared" si="19"/>
        <v>0</v>
      </c>
      <c r="G184" s="158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8">
        <f t="shared" si="19"/>
        <v>0</v>
      </c>
      <c r="G185" s="158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8">
        <f t="shared" si="19"/>
        <v>0</v>
      </c>
      <c r="G186" s="158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8">
        <f t="shared" si="19"/>
        <v>0</v>
      </c>
      <c r="G187" s="158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178</v>
      </c>
    </row>
    <row r="189" spans="1:14" ht="29.25" customHeight="1">
      <c r="A189" s="104" t="s">
        <v>178</v>
      </c>
    </row>
    <row r="190" spans="1:14" ht="36.75" customHeight="1">
      <c r="A190" s="178" t="s">
        <v>192</v>
      </c>
      <c r="B190" s="178"/>
      <c r="C190" s="178"/>
      <c r="D190" s="178"/>
      <c r="E190" s="27">
        <f>SUM(F158:G187)</f>
        <v>325016.12</v>
      </c>
    </row>
    <row r="191" spans="1:14" ht="51.75" customHeight="1">
      <c r="A191" s="178" t="s">
        <v>191</v>
      </c>
      <c r="B191" s="178"/>
      <c r="C191" s="178"/>
      <c r="D191" s="178"/>
      <c r="E191" s="27">
        <f>E190+E154-E155</f>
        <v>-29372.14</v>
      </c>
    </row>
    <row r="192" spans="1:14">
      <c r="A192" s="104" t="s">
        <v>178</v>
      </c>
    </row>
    <row r="193" spans="1:10" ht="62.25" customHeight="1">
      <c r="A193" s="152" t="s">
        <v>190</v>
      </c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1:10">
      <c r="A194" s="150" t="str">
        <f>ПТО!F12</f>
        <v xml:space="preserve">  -  поверка (замена) манометров и термометров</v>
      </c>
      <c r="B194" s="150"/>
      <c r="C194" s="150"/>
      <c r="D194" s="150"/>
      <c r="E194" s="150"/>
      <c r="F194" s="150"/>
      <c r="G194" s="150"/>
      <c r="H194" s="49">
        <f>ПТО!G12</f>
        <v>1200</v>
      </c>
      <c r="I194" s="50" t="s">
        <v>75</v>
      </c>
    </row>
    <row r="195" spans="1:10" ht="18.75" customHeight="1">
      <c r="A195" s="150" t="str">
        <f>ПТО!F13</f>
        <v xml:space="preserve">  -  техническое освидетельствование лифта</v>
      </c>
      <c r="B195" s="150"/>
      <c r="C195" s="150"/>
      <c r="D195" s="150"/>
      <c r="E195" s="150"/>
      <c r="F195" s="150"/>
      <c r="G195" s="150"/>
      <c r="H195" s="49">
        <f>ПТО!G13</f>
        <v>8100</v>
      </c>
      <c r="I195" s="50" t="s">
        <v>75</v>
      </c>
    </row>
    <row r="196" spans="1:10" ht="18.75" customHeight="1">
      <c r="A196" s="150" t="str">
        <f>ПТО!F14</f>
        <v xml:space="preserve">  -  техническое обслуживание системы видеонаблюдения</v>
      </c>
      <c r="B196" s="150"/>
      <c r="C196" s="150"/>
      <c r="D196" s="150"/>
      <c r="E196" s="150"/>
      <c r="F196" s="150"/>
      <c r="G196" s="150"/>
      <c r="H196" s="49">
        <f>ПТО!G14</f>
        <v>18000</v>
      </c>
      <c r="I196" s="50" t="s">
        <v>75</v>
      </c>
    </row>
    <row r="197" spans="1:10" ht="18.75" customHeight="1">
      <c r="A197" s="150" t="str">
        <f>ПТО!F15</f>
        <v xml:space="preserve">  -  обслуживание ТП и кабельных линий</v>
      </c>
      <c r="B197" s="150"/>
      <c r="C197" s="150"/>
      <c r="D197" s="150"/>
      <c r="E197" s="150"/>
      <c r="F197" s="150"/>
      <c r="G197" s="150"/>
      <c r="H197" s="49">
        <f>ПТО!G15</f>
        <v>15000</v>
      </c>
      <c r="I197" s="50" t="s">
        <v>75</v>
      </c>
    </row>
    <row r="198" spans="1:10" ht="18.75" customHeight="1">
      <c r="A198" s="150" t="str">
        <f>ПТО!F16</f>
        <v xml:space="preserve">  -  передача бесхозных эл. сети и ТП</v>
      </c>
      <c r="B198" s="150"/>
      <c r="C198" s="150"/>
      <c r="D198" s="150"/>
      <c r="E198" s="150"/>
      <c r="F198" s="150"/>
      <c r="G198" s="150"/>
      <c r="H198" s="49">
        <f>ПТО!G16</f>
        <v>12000</v>
      </c>
      <c r="I198" s="52" t="s">
        <v>75</v>
      </c>
    </row>
    <row r="199" spans="1:10" ht="18.75" customHeight="1">
      <c r="A199" s="150" t="str">
        <f>ПТО!F17</f>
        <v xml:space="preserve">  -  замена освещения в подъезде на LED светильники</v>
      </c>
      <c r="B199" s="150"/>
      <c r="C199" s="150"/>
      <c r="D199" s="150"/>
      <c r="E199" s="150"/>
      <c r="F199" s="150"/>
      <c r="G199" s="150"/>
      <c r="H199" s="49">
        <f>ПТО!G17</f>
        <v>40000</v>
      </c>
      <c r="I199" s="50" t="s">
        <v>75</v>
      </c>
    </row>
    <row r="200" spans="1:10">
      <c r="A200" s="150" t="str">
        <f>ПТО!F18</f>
        <v xml:space="preserve">  -  ремонт резервного частотного преобразователя</v>
      </c>
      <c r="B200" s="150"/>
      <c r="C200" s="150"/>
      <c r="D200" s="150"/>
      <c r="E200" s="150"/>
      <c r="F200" s="150"/>
      <c r="G200" s="150"/>
      <c r="H200" s="49">
        <f>ПТО!G18</f>
        <v>110000</v>
      </c>
      <c r="I200" s="50" t="s">
        <v>75</v>
      </c>
    </row>
    <row r="201" spans="1:10" hidden="1">
      <c r="A201" s="150">
        <f>ПТО!F19</f>
        <v>0</v>
      </c>
      <c r="B201" s="150"/>
      <c r="C201" s="150"/>
      <c r="D201" s="150"/>
      <c r="E201" s="150"/>
      <c r="F201" s="150"/>
      <c r="G201" s="150"/>
      <c r="H201" s="49">
        <f>ПТО!G19</f>
        <v>0</v>
      </c>
      <c r="I201" s="50" t="s">
        <v>75</v>
      </c>
    </row>
    <row r="202" spans="1:10" hidden="1">
      <c r="A202" s="150">
        <f>ПТО!F20</f>
        <v>0</v>
      </c>
      <c r="B202" s="150"/>
      <c r="C202" s="150"/>
      <c r="D202" s="150"/>
      <c r="E202" s="150"/>
      <c r="F202" s="150"/>
      <c r="G202" s="150"/>
      <c r="H202" s="49">
        <f>ПТО!G20</f>
        <v>0</v>
      </c>
      <c r="I202" s="50" t="s">
        <v>75</v>
      </c>
    </row>
    <row r="203" spans="1:10" hidden="1">
      <c r="A203" s="150">
        <f>ПТО!F21</f>
        <v>0</v>
      </c>
      <c r="B203" s="150"/>
      <c r="C203" s="150"/>
      <c r="D203" s="150"/>
      <c r="E203" s="150"/>
      <c r="F203" s="150"/>
      <c r="G203" s="150"/>
      <c r="H203" s="49">
        <f>ПТО!G21</f>
        <v>0</v>
      </c>
      <c r="I203" s="50" t="s">
        <v>75</v>
      </c>
    </row>
    <row r="204" spans="1:10" hidden="1">
      <c r="A204" s="150">
        <f>ПТО!F22</f>
        <v>0</v>
      </c>
      <c r="B204" s="150"/>
      <c r="C204" s="150"/>
      <c r="D204" s="150"/>
      <c r="E204" s="150"/>
      <c r="F204" s="150"/>
      <c r="G204" s="150"/>
      <c r="H204" s="49">
        <f>ПТО!G22</f>
        <v>0</v>
      </c>
      <c r="I204" s="50" t="s">
        <v>75</v>
      </c>
    </row>
    <row r="205" spans="1:10" hidden="1">
      <c r="A205" s="150">
        <f>ПТО!F23</f>
        <v>0</v>
      </c>
      <c r="B205" s="150"/>
      <c r="C205" s="150"/>
      <c r="D205" s="150"/>
      <c r="E205" s="150"/>
      <c r="F205" s="150"/>
      <c r="G205" s="150"/>
      <c r="H205" s="49">
        <f>ПТО!G23</f>
        <v>0</v>
      </c>
      <c r="I205" s="50" t="s">
        <v>75</v>
      </c>
    </row>
    <row r="206" spans="1:10" hidden="1">
      <c r="A206" s="150">
        <f>ПТО!F24</f>
        <v>0</v>
      </c>
      <c r="B206" s="150"/>
      <c r="C206" s="150"/>
      <c r="D206" s="150"/>
      <c r="E206" s="150"/>
      <c r="F206" s="150"/>
      <c r="G206" s="150"/>
      <c r="H206" s="49">
        <f>ПТО!G24</f>
        <v>0</v>
      </c>
      <c r="I206" s="50" t="s">
        <v>75</v>
      </c>
    </row>
    <row r="207" spans="1:10" hidden="1">
      <c r="A207" s="150">
        <f>ПТО!F25</f>
        <v>0</v>
      </c>
      <c r="B207" s="150"/>
      <c r="C207" s="150"/>
      <c r="D207" s="150"/>
      <c r="E207" s="150"/>
      <c r="F207" s="150"/>
      <c r="G207" s="150"/>
      <c r="H207" s="49">
        <f>ПТО!G25</f>
        <v>0</v>
      </c>
      <c r="I207" s="50" t="s">
        <v>75</v>
      </c>
    </row>
    <row r="208" spans="1:10" hidden="1">
      <c r="A208" s="150">
        <f>ПТО!F26</f>
        <v>0</v>
      </c>
      <c r="B208" s="150"/>
      <c r="C208" s="150"/>
      <c r="D208" s="150"/>
      <c r="E208" s="150"/>
      <c r="F208" s="150"/>
      <c r="G208" s="150"/>
      <c r="H208" s="49">
        <f>ПТО!G26</f>
        <v>0</v>
      </c>
      <c r="I208" s="50" t="s">
        <v>75</v>
      </c>
    </row>
    <row r="209" spans="1:9" hidden="1">
      <c r="A209" s="150">
        <f>ПТО!F27</f>
        <v>0</v>
      </c>
      <c r="B209" s="150"/>
      <c r="C209" s="150"/>
      <c r="D209" s="150"/>
      <c r="E209" s="150"/>
      <c r="F209" s="150"/>
      <c r="G209" s="150"/>
      <c r="H209" s="49">
        <f>ПТО!G27</f>
        <v>0</v>
      </c>
      <c r="I209" s="50" t="s">
        <v>75</v>
      </c>
    </row>
    <row r="210" spans="1:9" hidden="1">
      <c r="A210" s="150">
        <f>ПТО!F28</f>
        <v>0</v>
      </c>
      <c r="B210" s="150"/>
      <c r="C210" s="150"/>
      <c r="D210" s="150"/>
      <c r="E210" s="150"/>
      <c r="F210" s="150"/>
      <c r="G210" s="150"/>
      <c r="H210" s="49">
        <f>ПТО!G28</f>
        <v>0</v>
      </c>
      <c r="I210" s="50" t="s">
        <v>75</v>
      </c>
    </row>
    <row r="211" spans="1:9" hidden="1">
      <c r="A211" s="150">
        <f>ПТО!F29</f>
        <v>0</v>
      </c>
      <c r="B211" s="150"/>
      <c r="C211" s="150"/>
      <c r="D211" s="150"/>
      <c r="E211" s="150"/>
      <c r="F211" s="150"/>
      <c r="G211" s="150"/>
      <c r="H211" s="49">
        <f>ПТО!G29</f>
        <v>0</v>
      </c>
      <c r="I211" s="50" t="s">
        <v>75</v>
      </c>
    </row>
    <row r="212" spans="1:9" hidden="1">
      <c r="A212" s="150">
        <f>ПТО!F30</f>
        <v>0</v>
      </c>
      <c r="B212" s="150"/>
      <c r="C212" s="150"/>
      <c r="D212" s="150"/>
      <c r="E212" s="150"/>
      <c r="F212" s="150"/>
      <c r="G212" s="150"/>
      <c r="H212" s="49">
        <f>ПТО!G30</f>
        <v>0</v>
      </c>
      <c r="I212" s="50" t="s">
        <v>75</v>
      </c>
    </row>
    <row r="213" spans="1:9" hidden="1">
      <c r="A213" s="150">
        <f>ПТО!F31</f>
        <v>0</v>
      </c>
      <c r="B213" s="150"/>
      <c r="C213" s="150"/>
      <c r="D213" s="150"/>
      <c r="E213" s="150"/>
      <c r="F213" s="150"/>
      <c r="G213" s="150"/>
      <c r="H213" s="49">
        <f>ПТО!G31</f>
        <v>0</v>
      </c>
      <c r="I213" s="50" t="s">
        <v>75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204300</v>
      </c>
      <c r="I214" s="56" t="s">
        <v>81</v>
      </c>
    </row>
  </sheetData>
  <sheetProtection algorithmName="SHA-512" hashValue="pTWoaylKpMD0f86b7xk5l+mvuVXFWVwaYu+8S5NbmO2VUzqbxj+F3d4dlJKqg3MWVW53nylp21z3RnyAnfK0EQ==" saltValue="DOIwH3NUIwHa9yje450/3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8" sqref="A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-227749.86</f>
        <v>-227749.86</v>
      </c>
    </row>
    <row r="2" spans="1:12" ht="18.75" customHeight="1">
      <c r="A2" s="146" t="s">
        <v>183</v>
      </c>
      <c r="B2" s="147" t="s">
        <v>184</v>
      </c>
      <c r="C2" s="147">
        <v>12</v>
      </c>
      <c r="D2" s="148">
        <v>18000</v>
      </c>
      <c r="E2" s="144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9" t="s">
        <v>73</v>
      </c>
      <c r="B3" s="147" t="s">
        <v>185</v>
      </c>
      <c r="C3" s="147">
        <v>1</v>
      </c>
      <c r="D3" s="118">
        <v>8100</v>
      </c>
      <c r="E3" s="144" t="s">
        <v>212</v>
      </c>
      <c r="F3" s="30"/>
      <c r="G3" s="30"/>
      <c r="L3" s="33" t="str">
        <f t="shared" si="0"/>
        <v>ТР</v>
      </c>
    </row>
    <row r="4" spans="1:12" ht="18.75" customHeight="1">
      <c r="A4" s="123" t="s">
        <v>195</v>
      </c>
      <c r="B4" s="122" t="s">
        <v>194</v>
      </c>
      <c r="C4" s="119">
        <v>1</v>
      </c>
      <c r="D4" s="118">
        <v>1345</v>
      </c>
      <c r="E4" s="124" t="s">
        <v>196</v>
      </c>
      <c r="F4" s="30"/>
      <c r="G4" s="30"/>
      <c r="L4" s="33" t="str">
        <f t="shared" si="0"/>
        <v>ТР</v>
      </c>
    </row>
    <row r="5" spans="1:12" ht="18.75" customHeight="1">
      <c r="A5" s="125" t="s">
        <v>197</v>
      </c>
      <c r="B5" s="126" t="s">
        <v>194</v>
      </c>
      <c r="C5" s="119">
        <v>1</v>
      </c>
      <c r="D5" s="118">
        <v>4096.78</v>
      </c>
      <c r="E5" s="127" t="s">
        <v>200</v>
      </c>
      <c r="F5" s="44"/>
      <c r="G5" s="44"/>
      <c r="K5" s="46"/>
      <c r="L5" s="33" t="str">
        <f t="shared" si="0"/>
        <v>ТР</v>
      </c>
    </row>
    <row r="6" spans="1:12" ht="18.75" customHeight="1">
      <c r="A6" s="129" t="s">
        <v>203</v>
      </c>
      <c r="B6" s="122" t="s">
        <v>194</v>
      </c>
      <c r="C6" s="119">
        <v>1</v>
      </c>
      <c r="D6" s="118">
        <v>4200</v>
      </c>
      <c r="E6" s="128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30" t="s">
        <v>198</v>
      </c>
      <c r="B7" s="131" t="s">
        <v>194</v>
      </c>
      <c r="C7" s="132">
        <v>1</v>
      </c>
      <c r="D7" s="46">
        <v>1260</v>
      </c>
      <c r="E7" s="133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44" t="s">
        <v>201</v>
      </c>
      <c r="B8" s="138" t="s">
        <v>194</v>
      </c>
      <c r="C8" s="139">
        <v>1</v>
      </c>
      <c r="D8" s="43">
        <v>28900</v>
      </c>
      <c r="E8" s="44" t="s">
        <v>205</v>
      </c>
      <c r="F8" s="45"/>
      <c r="G8" s="45"/>
      <c r="K8" s="43"/>
      <c r="L8" s="33" t="str">
        <f t="shared" si="0"/>
        <v>ТР</v>
      </c>
    </row>
    <row r="9" spans="1:12">
      <c r="A9" s="140" t="s">
        <v>206</v>
      </c>
      <c r="B9" s="134" t="s">
        <v>194</v>
      </c>
      <c r="C9" s="135">
        <v>1</v>
      </c>
      <c r="D9" s="136">
        <v>40767.339999999997</v>
      </c>
      <c r="E9" s="137" t="s">
        <v>207</v>
      </c>
      <c r="F9" s="44"/>
      <c r="G9" s="44"/>
      <c r="K9" s="43"/>
      <c r="L9" s="33" t="str">
        <f t="shared" si="0"/>
        <v>ТР</v>
      </c>
    </row>
    <row r="10" spans="1:12">
      <c r="A10" s="141" t="s">
        <v>199</v>
      </c>
      <c r="B10" s="134" t="s">
        <v>194</v>
      </c>
      <c r="C10" s="135">
        <v>1</v>
      </c>
      <c r="D10" s="136">
        <v>250</v>
      </c>
      <c r="E10" s="137" t="s">
        <v>209</v>
      </c>
      <c r="L10" s="33" t="str">
        <f t="shared" si="0"/>
        <v>ТР</v>
      </c>
    </row>
    <row r="11" spans="1:12" ht="94.5">
      <c r="A11" s="142" t="s">
        <v>208</v>
      </c>
      <c r="B11" s="143" t="s">
        <v>194</v>
      </c>
      <c r="C11" s="134">
        <v>1</v>
      </c>
      <c r="D11" s="145">
        <v>218097</v>
      </c>
      <c r="E11" s="144" t="s">
        <v>210</v>
      </c>
      <c r="F11" s="111" t="s">
        <v>190</v>
      </c>
      <c r="G11" s="111"/>
      <c r="L11" s="33" t="str">
        <f t="shared" si="0"/>
        <v>ТР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79</v>
      </c>
      <c r="G14" s="114">
        <v>18000</v>
      </c>
      <c r="L14" s="33">
        <f t="shared" si="0"/>
        <v>0</v>
      </c>
    </row>
    <row r="15" spans="1:12" ht="31.5">
      <c r="A15" s="30"/>
      <c r="F15" s="112" t="s">
        <v>77</v>
      </c>
      <c r="G15" s="113">
        <v>15000</v>
      </c>
      <c r="L15" s="33">
        <f t="shared" si="0"/>
        <v>0</v>
      </c>
    </row>
    <row r="16" spans="1:12" ht="15.75">
      <c r="A16" s="30"/>
      <c r="F16" s="112" t="s">
        <v>78</v>
      </c>
      <c r="G16" s="113">
        <v>12000</v>
      </c>
      <c r="L16" s="33">
        <f t="shared" si="0"/>
        <v>0</v>
      </c>
    </row>
    <row r="17" spans="1:12" ht="31.5">
      <c r="A17" s="30"/>
      <c r="F17" s="112" t="s">
        <v>187</v>
      </c>
      <c r="G17" s="113">
        <v>40000</v>
      </c>
      <c r="L17" s="33">
        <f t="shared" si="0"/>
        <v>0</v>
      </c>
    </row>
    <row r="18" spans="1:12" ht="31.5">
      <c r="A18" s="30"/>
      <c r="F18" s="112" t="s">
        <v>188</v>
      </c>
      <c r="G18" s="113">
        <v>110000</v>
      </c>
      <c r="L18" s="33">
        <f t="shared" si="0"/>
        <v>0</v>
      </c>
    </row>
    <row r="19" spans="1:12" ht="15.75">
      <c r="A19" s="30"/>
      <c r="F19" s="120"/>
      <c r="G19" s="121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143193.60000000001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143193.60000000001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53856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43084.800000000003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43084.800000000003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12355.2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12355.2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54489.599999999999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54489.599999999999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182</v>
      </c>
      <c r="B46" s="38">
        <v>126403.2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126403.2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/h7SHzMX4CO81Z/vyV+70Le1Tk+YhTSJEn+6OAdK4ogfRbuQbNc9IkqlRUAn0eO283dXDVsU/Vb5ROmzuHMsKA==" saltValue="b21YLs5PSWdN/JwqApZbD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C75" sqref="C7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186</v>
      </c>
      <c r="F1" s="60">
        <v>2638.3</v>
      </c>
    </row>
    <row r="2" spans="1:10" ht="15.75" customHeight="1">
      <c r="A2" s="70" t="s">
        <v>86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87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88</v>
      </c>
      <c r="B4" s="72" t="s">
        <v>4</v>
      </c>
      <c r="C4" s="83">
        <v>284368.09999999998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5</v>
      </c>
      <c r="C5" s="79">
        <f>SUM(C6:C8)</f>
        <v>586793.25999999978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6</v>
      </c>
      <c r="C6" s="83">
        <v>460154.85999999981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7</v>
      </c>
      <c r="C7" s="83">
        <f>F1*4*12</f>
        <v>126638.40000000001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9</v>
      </c>
      <c r="C9" s="79">
        <f>SUM(C10:C14)</f>
        <v>561436.1399999999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10</v>
      </c>
      <c r="C10" s="83">
        <v>561436.1399999999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15</v>
      </c>
      <c r="C15" s="79">
        <f>C9</f>
        <v>561436.1399999999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18</v>
      </c>
      <c r="C18" s="79">
        <f>IF(C16&gt;0,0,IF(C4&gt;0,C4+C5-C9,C5-C2-C9))</f>
        <v>309725.21999999986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104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105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106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166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108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109</v>
      </c>
      <c r="B27" s="75" t="s">
        <v>4</v>
      </c>
      <c r="C27" s="86">
        <v>170007.64</v>
      </c>
      <c r="D27" s="81" t="s">
        <v>60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110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111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112</v>
      </c>
      <c r="B30" s="75" t="s">
        <v>18</v>
      </c>
      <c r="C30" s="86">
        <v>208941</v>
      </c>
      <c r="D30" s="81" t="s">
        <v>66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113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114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115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116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167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168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127886.79999999997</v>
      </c>
      <c r="F37" s="94" t="s">
        <v>171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117</v>
      </c>
      <c r="B38" s="78" t="s">
        <v>37</v>
      </c>
      <c r="C38" s="90">
        <v>112181.40350877191</v>
      </c>
      <c r="D38" s="94" t="s">
        <v>169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118</v>
      </c>
      <c r="B39" s="78" t="s">
        <v>38</v>
      </c>
      <c r="C39" s="91">
        <v>111202.68999999999</v>
      </c>
      <c r="D39" s="94" t="s">
        <v>170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119</v>
      </c>
      <c r="B40" s="78" t="s">
        <v>39</v>
      </c>
      <c r="C40" s="93">
        <f>IF(E37-C39&lt;0,0,E37-C39)</f>
        <v>16684.109999999986</v>
      </c>
      <c r="D40" s="80" t="s">
        <v>59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120</v>
      </c>
      <c r="B41" s="78" t="s">
        <v>40</v>
      </c>
      <c r="C41" s="93">
        <f>E37</f>
        <v>127886.79999999997</v>
      </c>
      <c r="D41" s="80" t="s">
        <v>59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121</v>
      </c>
      <c r="B42" s="78" t="s">
        <v>41</v>
      </c>
      <c r="C42" s="93">
        <f>E37</f>
        <v>127886.79999999997</v>
      </c>
      <c r="D42" s="80" t="s">
        <v>59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122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123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125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74759.760000000009</v>
      </c>
      <c r="F45" s="94" t="s">
        <v>171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126</v>
      </c>
      <c r="B46" s="78" t="s">
        <v>37</v>
      </c>
      <c r="C46" s="90">
        <v>5525.4811529933495</v>
      </c>
      <c r="D46" s="94" t="s">
        <v>172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127</v>
      </c>
      <c r="B47" s="78" t="s">
        <v>38</v>
      </c>
      <c r="C47" s="91">
        <v>65873.540000000008</v>
      </c>
      <c r="D47" s="94" t="s">
        <v>170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128</v>
      </c>
      <c r="B48" s="78" t="s">
        <v>39</v>
      </c>
      <c r="C48" s="93">
        <f>IF(E45-C47&lt;0,0,E45-C47)</f>
        <v>8886.2200000000012</v>
      </c>
      <c r="D48" s="80" t="s">
        <v>59</v>
      </c>
      <c r="E48" s="68"/>
      <c r="G48" s="67"/>
      <c r="H48" s="67"/>
      <c r="L48" s="63"/>
      <c r="M48" s="179"/>
      <c r="N48" s="63"/>
      <c r="O48" s="63"/>
    </row>
    <row r="49" spans="1:15" ht="18.75" customHeight="1">
      <c r="A49" s="73" t="s">
        <v>129</v>
      </c>
      <c r="B49" s="78" t="s">
        <v>40</v>
      </c>
      <c r="C49" s="93">
        <f>E45</f>
        <v>74759.760000000009</v>
      </c>
      <c r="D49" s="80" t="s">
        <v>59</v>
      </c>
      <c r="E49" s="68"/>
      <c r="G49" s="67"/>
      <c r="H49" s="67"/>
      <c r="L49" s="63"/>
      <c r="M49" s="179"/>
      <c r="N49" s="63"/>
      <c r="O49" s="63"/>
    </row>
    <row r="50" spans="1:15" ht="18.75" customHeight="1">
      <c r="A50" s="73" t="s">
        <v>130</v>
      </c>
      <c r="B50" s="78" t="s">
        <v>41</v>
      </c>
      <c r="C50" s="93">
        <f>E45</f>
        <v>74759.760000000009</v>
      </c>
      <c r="D50" s="80" t="s">
        <v>59</v>
      </c>
      <c r="E50" s="68"/>
      <c r="G50" s="67"/>
      <c r="H50" s="67"/>
      <c r="L50" s="63"/>
      <c r="M50" s="179"/>
      <c r="N50" s="63"/>
      <c r="O50" s="63"/>
    </row>
    <row r="51" spans="1:15" ht="18.75" customHeight="1">
      <c r="A51" s="73" t="s">
        <v>131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132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133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89082.449999999983</v>
      </c>
      <c r="F53" s="94" t="s">
        <v>171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134</v>
      </c>
      <c r="B54" s="75" t="s">
        <v>37</v>
      </c>
      <c r="C54" s="98">
        <v>5773.3279325988324</v>
      </c>
      <c r="D54" s="94" t="s">
        <v>172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135</v>
      </c>
      <c r="B55" s="75" t="s">
        <v>38</v>
      </c>
      <c r="C55" s="86">
        <v>77687.550000000017</v>
      </c>
      <c r="D55" s="94" t="s">
        <v>170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136</v>
      </c>
      <c r="B56" s="75" t="s">
        <v>39</v>
      </c>
      <c r="C56" s="93">
        <f>IF(E53-C55&lt;0,0,E53-C55)</f>
        <v>11394.899999999965</v>
      </c>
      <c r="D56" s="80" t="s">
        <v>59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137</v>
      </c>
      <c r="B57" s="75" t="s">
        <v>40</v>
      </c>
      <c r="C57" s="93">
        <f>E53</f>
        <v>89082.449999999983</v>
      </c>
      <c r="D57" s="80" t="s">
        <v>59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138</v>
      </c>
      <c r="B58" s="75" t="s">
        <v>41</v>
      </c>
      <c r="C58" s="93">
        <f>E53</f>
        <v>89082.449999999983</v>
      </c>
      <c r="D58" s="80" t="s">
        <v>59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139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140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55</v>
      </c>
      <c r="E61" s="95">
        <v>116549.66999999998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37</v>
      </c>
      <c r="C62" s="98">
        <v>205.58760649838598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38</v>
      </c>
      <c r="C63" s="86">
        <v>101828.90000000001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39</v>
      </c>
      <c r="C64" s="93">
        <f>IF(E61-C63&lt;0,0,E61-C63)</f>
        <v>14720.769999999975</v>
      </c>
      <c r="D64" s="80" t="s">
        <v>59</v>
      </c>
      <c r="E64" s="69"/>
      <c r="G64" s="64"/>
      <c r="H64" s="64"/>
    </row>
    <row r="65" spans="1:8" ht="15.75" customHeight="1">
      <c r="A65" s="73" t="s">
        <v>145</v>
      </c>
      <c r="B65" s="75" t="s">
        <v>40</v>
      </c>
      <c r="C65" s="93">
        <f>E61</f>
        <v>116549.66999999998</v>
      </c>
      <c r="D65" s="80" t="s">
        <v>59</v>
      </c>
      <c r="E65" s="69"/>
      <c r="G65" s="64"/>
      <c r="H65" s="64"/>
    </row>
    <row r="66" spans="1:8" ht="15.75" customHeight="1">
      <c r="A66" s="73" t="s">
        <v>146</v>
      </c>
      <c r="B66" s="75" t="s">
        <v>41</v>
      </c>
      <c r="C66" s="93">
        <f>E61</f>
        <v>116549.66999999998</v>
      </c>
      <c r="D66" s="80" t="s">
        <v>59</v>
      </c>
      <c r="E66" s="69"/>
      <c r="G66" s="64"/>
      <c r="H66" s="64"/>
    </row>
    <row r="67" spans="1:8" ht="15.75" customHeight="1">
      <c r="A67" s="73" t="s">
        <v>147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148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37</v>
      </c>
      <c r="C70" s="98">
        <v>0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38</v>
      </c>
      <c r="C71" s="86">
        <v>0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153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154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155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156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>
        <f>IF(E77&gt;0,"Предоставляется",0)</f>
        <v>0</v>
      </c>
      <c r="D77" s="96" t="s">
        <v>85</v>
      </c>
      <c r="E77" s="95">
        <v>0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37</v>
      </c>
      <c r="C78" s="98">
        <v>0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38</v>
      </c>
      <c r="C79" s="86">
        <v>0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161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162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163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164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176</v>
      </c>
      <c r="B4" s="59" t="s">
        <v>47</v>
      </c>
      <c r="C4" s="106">
        <v>172947.6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2021-03-26T08:04:36Z</dcterms:modified>
</cp:coreProperties>
</file>