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D4" i="2" l="1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G102" i="1"/>
  <c r="J101" i="1"/>
  <c r="J96" i="1"/>
  <c r="J95" i="1"/>
  <c r="A100" i="1"/>
  <c r="A99" i="1"/>
  <c r="G94" i="1"/>
  <c r="D94" i="1"/>
  <c r="K94" i="1"/>
  <c r="A118" i="1" l="1"/>
  <c r="A120" i="1"/>
  <c r="F102" i="1"/>
  <c r="A105" i="1"/>
  <c r="D118" i="1"/>
  <c r="A123" i="1"/>
  <c r="A124" i="1"/>
  <c r="A119" i="1"/>
  <c r="A141" i="1"/>
  <c r="A95" i="1"/>
  <c r="F134" i="1"/>
  <c r="A94" i="1"/>
  <c r="A96" i="1"/>
  <c r="A137" i="1"/>
  <c r="A122" i="1"/>
  <c r="F118" i="1"/>
  <c r="A121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<sst xmlns="http://schemas.openxmlformats.org/spreadsheetml/2006/main" count="568" uniqueCount="213">
  <si>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</si>
  <si>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</si>
  <si>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</si>
  <si>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</si>
  <si>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</si>
  <si>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</si>
  <si>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</si>
  <si>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</si>
  <si>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</si>
  <si>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</si>
  <si>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</si>
  <si>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</si>
  <si>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</si>
  <si>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</si>
  <si>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</si>
  <si>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</si>
  <si>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</si>
  <si>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</si>
  <si>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</si>
  <si>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</si>
  <si>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</si>
  <si>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</si>
  <si>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</si>
  <si>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</si>
  <si>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</si>
  <si>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</si>
  <si>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</si>
  <si>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</si>
  <si>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</si>
  <si>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</si>
  <si>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</si>
  <si>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</si>
  <si>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</si>
  <si>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</si>
  <si>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</si>
  <si>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</si>
  <si>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</si>
  <si>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</si>
  <si>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</si>
  <si>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</si>
  <si>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</si>
  <si>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</si>
  <si>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</si>
  <si>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</si>
  <si>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</si>
  <si>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</si>
  <si>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</si>
  <si>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</si>
  <si>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</si>
  <si>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</si>
  <si>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</si>
  <si>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</si>
  <si>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</si>
  <si>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</si>
  <si>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</si>
  <si>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</si>
  <si>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</si>
  <si>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</si>
  <si>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</si>
  <si>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</si>
  <si>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</si>
  <si>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</si>
  <si>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</si>
  <si>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</si>
  <si>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</si>
  <si>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</si>
  <si>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</si>
  <si>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</si>
  <si>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</si>
  <si>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</si>
  <si>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</si>
  <si>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</si>
  <si>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</si>
  <si>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</si>
  <si>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</si>
  <si>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</si>
  <si>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</si>
  <si>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</si>
  <si>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</si>
  <si>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</si>
  <si>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</si>
  <si>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</si>
  <si>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</si>
  <si>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</si>
  <si>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</si>
  <si>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</si>
  <si>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</si>
  <si>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</si>
  <si>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</si>
  <si>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</si>
  <si>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</si>
  <si>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</si>
  <si>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</si>
  <si>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</si>
  <si>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</si>
  <si>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</si>
  <si>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</si>
  <si>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</si>
  <si>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</si>
  <si>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</si>
  <si>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</si>
  <si>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</si>
  <si>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</si>
  <si>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</si>
  <si>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</si>
  <si>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</si>
  <si>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</si>
  <si>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</si>
  <si>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</si>
  <si>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</si>
  <si>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</si>
  <si>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</si>
  <si>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</si>
  <si>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</si>
  <si>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</si>
  <si>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</si>
  <si>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</si>
  <si>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</si>
  <si>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</si>
  <si>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</si>
  <si>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</si>
  <si>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</si>
  <si>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</si>
  <si>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</si>
  <si>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</si>
  <si>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</si>
  <si>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</si>
  <si>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</si>
  <si>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</si>
  <si>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</si>
  <si>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</si>
  <si>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</si>
  <si>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</si>
  <si>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</si>
  <si>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</si>
  <si>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</si>
  <si>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</si>
  <si>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</si>
  <si>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</si>
  <si>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</si>
  <si>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</si>
  <si>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</si>
  <si>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</si>
  <si>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</si>
  <si>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</si>
  <si>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</si>
  <si>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</si>
  <si>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</si>
  <si>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</si>
  <si>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</si>
  <si>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</si>
  <si>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</si>
  <si>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</si>
  <si>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</si>
  <si>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</si>
  <si>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</si>
  <si>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</si>
  <si>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</si>
  <si>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</si>
  <si>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</si>
  <si>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</si>
  <si>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</si>
  <si>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</si>
  <si>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</si>
  <si>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</si>
  <si>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</si>
  <si>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</si>
  <si>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</si>
  <si>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</si>
  <si>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</si>
  <si>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</si>
  <si>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</si>
  <si>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</si>
  <si>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</si>
  <si>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</si>
  <si>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</si>
  <si>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</si>
  <si>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157/1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</si>
  <si>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</si>
  <si>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</si>
  <si>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</si>
  <si>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</si>
  <si>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площадь дома</t>
  </si>
  <si>
    <t xml:space="preserve">  -  техническое освидетельствование лифтов</t>
  </si>
  <si>
    <t xml:space="preserve">  -  ремонт  подъездов</t>
  </si>
  <si>
    <t>Отчет об исполнении договора управления многоквартирного дома 
Байкальская, 157/1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</si>
  <si>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</si>
  <si>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</si>
  <si>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c 21.02.2019</t>
  </si>
  <si>
    <t>Механизированная уборка снега с придомовой территории.</t>
  </si>
  <si>
    <t>разово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</si>
  <si>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</si>
  <si>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</si>
  <si>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</si>
  <si>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</si>
  <si>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</si>
  <si>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</si>
  <si>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АВР 1/20 от 10.02.2020, счет №6 от 11.02.2020</t>
  </si>
  <si>
    <t>АВР 2/20 от 03.06.2020, счет №5365 от 09.05.2020</t>
  </si>
  <si>
    <t>Замена полотенцесушителей (кв. 63 и кв.19).</t>
  </si>
  <si>
    <t>Ремонт электрокотла Zota (май).</t>
  </si>
  <si>
    <t>Ремонт электрокотла Zota (август).</t>
  </si>
  <si>
    <t>Ремонт дорожного покрытия во круг дома.</t>
  </si>
  <si>
    <t>АВР 3/20 от 12.03.2020, счет от 12.03.2020</t>
  </si>
  <si>
    <t>АВР 4/20 от 06.07.2020, счет №6873 от 06.07.2020</t>
  </si>
  <si>
    <t>Замена светильников в кабине лифта.</t>
  </si>
  <si>
    <t>АВР 6/20 от 11.08.2020</t>
  </si>
  <si>
    <t>Приобретение и установка прибора учета на электрокотел.</t>
  </si>
  <si>
    <t>АВР 7/20 от 14.11.2020, Акт, счет №809 от 02.11.2020, Акт 110 от 30.11.2020</t>
  </si>
  <si>
    <t>АВР 5/20 от 10.08.2020, счет №125256 от 10.08.2020, счет №8508 от 11.08.2020</t>
  </si>
  <si>
    <t>АВР 8/20 от 10.09.2020, Решение, счет №2574 от 18.08.2020</t>
  </si>
  <si>
    <t>Ремонт прибора учета тепловой энергии.</t>
  </si>
  <si>
    <t>АВР 9/20 от 15.09.2020, счет №196 от 26.08.2020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</si>
</sst>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6" fillId="0" borderId="0"/>
  </cellStyleXfs>
  <cellXfs count="183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25" fillId="0" borderId="0" xfId="5" applyFont="1" applyFill="1" applyBorder="1" applyAlignment="1">
      <alignment horizontal="center"/>
    </xf>
    <xf numFmtId="4" fontId="25" fillId="0" borderId="0" xfId="5" applyNumberFormat="1" applyFont="1" applyFill="1" applyBorder="1" applyAlignment="1"/>
    <xf numFmtId="0" fontId="25" fillId="0" borderId="0" xfId="0" applyFont="1" applyFill="1"/>
    <xf numFmtId="4" fontId="25" fillId="0" borderId="0" xfId="0" applyNumberFormat="1" applyFont="1" applyFill="1" applyBorder="1" applyAlignment="1"/>
    <xf numFmtId="0" fontId="0" fillId="0" borderId="0" xfId="0" applyFill="1"/>
    <xf numFmtId="0" fontId="25" fillId="0" borderId="0" xfId="5" applyFont="1" applyFill="1" applyBorder="1" applyAlignment="1"/>
    <xf numFmtId="1" fontId="25" fillId="0" borderId="0" xfId="5" applyNumberFormat="1" applyFont="1" applyFill="1" applyBorder="1" applyAlignment="1">
      <alignment horizontal="center"/>
    </xf>
    <xf numFmtId="0" fontId="25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" fontId="5" fillId="0" borderId="0" xfId="4" applyNumberFormat="1" applyFont="1" applyFill="1" applyBorder="1" applyAlignment="1"/>
    <xf numFmtId="0" fontId="4" fillId="0" borderId="0" xfId="7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2" fillId="0" borderId="0" xfId="2" applyFont="1" applyFill="1" applyBorder="1" applyAlignment="1"/>
    <xf numFmtId="0" fontId="3" fillId="0" borderId="0" xfId="2" applyFont="1" applyFill="1" applyBorder="1" applyAlignment="1"/>
    <xf numFmtId="0" fontId="3" fillId="0" borderId="0" xfId="7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7" applyFont="1" applyFill="1" applyBorder="1" applyAlignment="1">
      <alignment horizontal="center"/>
    </xf>
    <xf numFmtId="4" fontId="0" fillId="0" borderId="0" xfId="0" applyNumberFormat="1" applyBorder="1"/>
    <xf numFmtId="4" fontId="25" fillId="0" borderId="0" xfId="0" applyNumberFormat="1" applyFont="1" applyFill="1" applyBorder="1" applyAlignment="1">
      <alignment horizontal="left"/>
    </xf>
    <xf numFmtId="0" fontId="11" fillId="6" borderId="0" xfId="5" applyFill="1" applyBorder="1" applyAlignment="1"/>
    <xf numFmtId="0" fontId="11" fillId="6" borderId="0" xfId="5" applyFill="1" applyBorder="1" applyAlignment="1">
      <alignment horizontal="center"/>
    </xf>
    <xf numFmtId="1" fontId="11" fillId="6" borderId="0" xfId="5" applyNumberFormat="1" applyFill="1" applyBorder="1" applyAlignment="1">
      <alignment horizontal="center"/>
    </xf>
    <xf numFmtId="4" fontId="25" fillId="6" borderId="0" xfId="5" applyNumberFormat="1" applyFont="1" applyFill="1" applyBorder="1" applyAlignment="1"/>
    <xf numFmtId="0" fontId="25" fillId="6" borderId="0" xfId="5" applyFont="1" applyFill="1" applyBorder="1" applyAlignment="1">
      <alignment horizontal="center"/>
    </xf>
    <xf numFmtId="0" fontId="25" fillId="6" borderId="0" xfId="5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7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9" t="s">
        <v>177</v>
      </c>
      <c r="B2" s="169"/>
      <c r="C2" s="169"/>
      <c r="D2" s="169"/>
      <c r="E2" s="169"/>
      <c r="F2" s="169"/>
      <c r="G2" s="169"/>
      <c r="H2" s="169"/>
      <c r="I2" s="169"/>
      <c r="J2" s="16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43831</v>
      </c>
      <c r="K4" s="108"/>
      <c r="L4" s="108"/>
      <c r="M4" s="108"/>
      <c r="N4" s="108"/>
    </row>
    <row r="5" spans="1:18">
      <c r="A5" s="1" t="s">
        <v>1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8"/>
      <c r="L8" s="170"/>
      <c r="M8" s="108"/>
      <c r="N8" s="108"/>
      <c r="O8" s="69" t="s">
        <v>82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8"/>
      <c r="L9" s="170"/>
      <c r="M9" s="108"/>
      <c r="N9" s="108"/>
      <c r="O9" s="69" t="s">
        <v>83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308052.7899999998</v>
      </c>
      <c r="K10" s="108"/>
      <c r="L10" s="170"/>
      <c r="M10" s="108"/>
      <c r="N10" s="108"/>
      <c r="O10" s="69" t="s">
        <v>84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1311118.7199999997</v>
      </c>
      <c r="K11" s="108"/>
      <c r="L11" s="170"/>
      <c r="M11" s="108"/>
      <c r="N11" s="108"/>
      <c r="O11" s="69" t="s">
        <v>85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991300.71999999974</v>
      </c>
      <c r="K12" s="108"/>
      <c r="L12" s="170"/>
      <c r="M12" s="108"/>
      <c r="N12" s="108"/>
      <c r="O12" s="69" t="s">
        <v>86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319818</v>
      </c>
      <c r="K13" s="108"/>
      <c r="L13" s="170"/>
      <c r="M13" s="108"/>
      <c r="N13" s="108"/>
      <c r="O13" s="69" t="s">
        <v>87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08"/>
      <c r="L14" s="170"/>
      <c r="M14" s="108"/>
      <c r="N14" s="108"/>
      <c r="O14" s="69" t="s">
        <v>88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1311333.6100000003</v>
      </c>
      <c r="K15" s="108"/>
      <c r="L15" s="170"/>
      <c r="M15" s="108"/>
      <c r="N15" s="108"/>
      <c r="O15" s="69" t="s">
        <v>89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1311333.6100000003</v>
      </c>
      <c r="K16" s="108"/>
      <c r="L16" s="170"/>
      <c r="M16" s="108"/>
      <c r="N16" s="108"/>
      <c r="O16" s="69" t="s">
        <v>90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8"/>
      <c r="L17" s="170"/>
      <c r="M17" s="108"/>
      <c r="N17" s="108"/>
      <c r="O17" s="69" t="s">
        <v>91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8"/>
      <c r="L18" s="170"/>
      <c r="M18" s="108"/>
      <c r="N18" s="108"/>
      <c r="O18" s="69" t="s">
        <v>92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8"/>
      <c r="L19" s="170"/>
      <c r="M19" s="108"/>
      <c r="N19" s="108"/>
      <c r="O19" s="69" t="s">
        <v>93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8"/>
      <c r="L20" s="170"/>
      <c r="M20" s="108"/>
      <c r="N20" s="108"/>
      <c r="O20" s="69" t="s">
        <v>94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1311333.6100000003</v>
      </c>
      <c r="K21" s="108"/>
      <c r="L21" s="170"/>
      <c r="M21" s="108"/>
      <c r="N21" s="108"/>
      <c r="O21" s="69" t="s">
        <v>95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8"/>
      <c r="L22" s="170"/>
      <c r="M22" s="108"/>
      <c r="N22" s="108"/>
      <c r="O22" s="69" t="s">
        <v>96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8"/>
      <c r="L23" s="170"/>
      <c r="M23" s="108"/>
      <c r="N23" s="108"/>
      <c r="O23" s="69" t="s">
        <v>97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307837.89999999921</v>
      </c>
      <c r="K24" s="108"/>
      <c r="L24" s="170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08"/>
      <c r="L27" s="17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416630.04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08"/>
      <c r="L28" s="17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Работы по содержанию лифта (лифтов)</v>
      </c>
      <c r="B29" s="154"/>
      <c r="C29" s="154"/>
      <c r="D29" s="154"/>
      <c r="E29" s="154"/>
      <c r="F29" s="159">
        <f>VLOOKUP(A29,ПТО!$A$39:$D$53,2,FALSE)</f>
        <v>107803.8</v>
      </c>
      <c r="G29" s="159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08"/>
      <c r="L29" s="171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45658.080000000002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08"/>
      <c r="L30" s="17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76096.800000000003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08"/>
      <c r="L31" s="17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08"/>
      <c r="L32" s="171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22194.959999999999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08"/>
      <c r="L33" s="17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111608.64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08"/>
      <c r="L34" s="17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4"/>
      <c r="C35" s="154"/>
      <c r="D35" s="154"/>
      <c r="E35" s="154"/>
      <c r="F35" s="159">
        <f>VLOOKUP(A35,ПТО!$A$39:$D$53,2,FALSE)</f>
        <v>253021.92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08"/>
      <c r="L35" s="171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55" t="e">
        <f>VLOOKUP(A36,ПТО!$A$39:$D$53,4,FALSE)</f>
        <v>#N/A</v>
      </c>
      <c r="J36" s="155"/>
      <c r="K36" s="108"/>
      <c r="L36" s="171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08"/>
      <c r="L37" s="171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08"/>
      <c r="L38" s="171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08"/>
      <c r="L39" s="171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08"/>
      <c r="L40" s="171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08"/>
      <c r="L41" s="171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08"/>
      <c r="L42" s="171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обслуживание системы видеонаблюдения.</v>
      </c>
      <c r="B43" s="154"/>
      <c r="C43" s="154"/>
      <c r="D43" s="154"/>
      <c r="E43" s="154"/>
      <c r="F43" s="159">
        <f>VLOOKUP(A43,ПТО!$A$2:$D$31,4,FALSE)</f>
        <v>33600</v>
      </c>
      <c r="G43" s="159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08"/>
      <c r="L43" s="171"/>
      <c r="M43" s="115"/>
      <c r="N43" s="108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54" t="str">
        <f>ПТО!A3</f>
        <v>Техническое освидетельствование лифтов.</v>
      </c>
      <c r="B44" s="154"/>
      <c r="C44" s="154"/>
      <c r="D44" s="154"/>
      <c r="E44" s="154"/>
      <c r="F44" s="159">
        <f>VLOOKUP(A44,ПТО!$A$2:$D$31,4,FALSE)</f>
        <v>16200</v>
      </c>
      <c r="G44" s="159"/>
      <c r="H44" s="25" t="str">
        <f>VLOOKUP(A44,ПТО!$A$2:$D$31,2,FALSE)</f>
        <v>ежегодно</v>
      </c>
      <c r="I44" s="155">
        <f>VLOOKUP(A44,ПТО!$A$2:$D$31,3,FALSE)</f>
        <v>2</v>
      </c>
      <c r="J44" s="155"/>
      <c r="K44" s="108"/>
      <c r="L44" s="171"/>
      <c r="M44" s="115"/>
      <c r="N44" s="108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54" t="str">
        <f>ПТО!A4</f>
        <v>Техническое обслуживание охранной сигнализации.</v>
      </c>
      <c r="B45" s="154"/>
      <c r="C45" s="154"/>
      <c r="D45" s="154"/>
      <c r="E45" s="154"/>
      <c r="F45" s="159">
        <f>VLOOKUP(A45,ПТО!$A$2:$D$31,4,FALSE)</f>
        <v>14400</v>
      </c>
      <c r="G45" s="159"/>
      <c r="H45" s="25" t="str">
        <f>VLOOKUP(A45,ПТО!$A$2:$D$31,2,FALSE)</f>
        <v>ежемесячно</v>
      </c>
      <c r="I45" s="155">
        <f>VLOOKUP(A45,ПТО!$A$2:$D$31,3,FALSE)</f>
        <v>12</v>
      </c>
      <c r="J45" s="155"/>
      <c r="K45" s="108"/>
      <c r="L45" s="171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54" t="str">
        <f>ПТО!A5</f>
        <v>Механизированная уборка снега с придомовой территории.</v>
      </c>
      <c r="B46" s="154"/>
      <c r="C46" s="154"/>
      <c r="D46" s="154"/>
      <c r="E46" s="154"/>
      <c r="F46" s="159">
        <f>VLOOKUP(A46,ПТО!$A$2:$D$31,4,FALSE)</f>
        <v>14235.5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08"/>
      <c r="L46" s="171"/>
      <c r="M46" s="115"/>
      <c r="N46" s="108"/>
      <c r="O46" s="23" t="str">
        <f t="shared" si="1"/>
        <v>Механизированная уборка снега с придомовой территории.</v>
      </c>
      <c r="R46" s="22" t="s">
        <v>72</v>
      </c>
    </row>
    <row r="47" spans="1:18" ht="51" customHeight="1" outlineLevel="1">
      <c r="A47" s="154" t="str">
        <f>ПТО!A6</f>
        <v>Ремонт электрокотла Zota (май).</v>
      </c>
      <c r="B47" s="154"/>
      <c r="C47" s="154"/>
      <c r="D47" s="154"/>
      <c r="E47" s="154"/>
      <c r="F47" s="159">
        <f>VLOOKUP(A47,ПТО!$A$2:$D$31,4,FALSE)</f>
        <v>17233.310000000001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08"/>
      <c r="L47" s="171"/>
      <c r="M47" s="115"/>
      <c r="N47" s="108"/>
      <c r="O47" s="23" t="str">
        <f t="shared" si="1"/>
        <v>Ремонт электрокотла Zota (май).</v>
      </c>
      <c r="R47" s="22" t="s">
        <v>72</v>
      </c>
    </row>
    <row r="48" spans="1:18" ht="51" customHeight="1" outlineLevel="1">
      <c r="A48" s="154" t="str">
        <f>ПТО!A7</f>
        <v>Приобретение и установка таблички по пожарной безопасности.</v>
      </c>
      <c r="B48" s="154"/>
      <c r="C48" s="154"/>
      <c r="D48" s="154"/>
      <c r="E48" s="154"/>
      <c r="F48" s="159">
        <f>VLOOKUP(A48,ПТО!$A$2:$D$31,4,FALSE)</f>
        <v>500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08"/>
      <c r="L48" s="171"/>
      <c r="M48" s="115"/>
      <c r="N48" s="108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54" t="str">
        <f>ПТО!A8</f>
        <v>Замена полотенцесушителей (кв. 63 и кв.19).</v>
      </c>
      <c r="B49" s="154"/>
      <c r="C49" s="154"/>
      <c r="D49" s="154"/>
      <c r="E49" s="154"/>
      <c r="F49" s="159">
        <f>VLOOKUP(A49,ПТО!$A$2:$D$31,4,FALSE)</f>
        <v>6985.8</v>
      </c>
      <c r="G49" s="159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08"/>
      <c r="L49" s="171"/>
      <c r="M49" s="115"/>
      <c r="N49" s="108"/>
      <c r="O49" s="23" t="str">
        <f t="shared" si="1"/>
        <v>Замена полотенцесушителей (кв. 63 и кв.19).</v>
      </c>
      <c r="R49" s="22" t="s">
        <v>72</v>
      </c>
    </row>
    <row r="50" spans="1:18" ht="51" customHeight="1" outlineLevel="1">
      <c r="A50" s="154" t="str">
        <f>ПТО!A9</f>
        <v>Ремонт электрокотла Zota (август).</v>
      </c>
      <c r="B50" s="154"/>
      <c r="C50" s="154"/>
      <c r="D50" s="154"/>
      <c r="E50" s="154"/>
      <c r="F50" s="159">
        <f>VLOOKUP(A50,ПТО!$A$2:$D$31,4,FALSE)</f>
        <v>23326.3</v>
      </c>
      <c r="G50" s="159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08"/>
      <c r="L50" s="171"/>
      <c r="M50" s="115"/>
      <c r="N50" s="108"/>
      <c r="O50" s="23" t="str">
        <f t="shared" si="1"/>
        <v>Ремонт электрокотла Zota (август).</v>
      </c>
      <c r="R50" s="22" t="s">
        <v>72</v>
      </c>
    </row>
    <row r="51" spans="1:18" ht="51" customHeight="1" outlineLevel="1">
      <c r="A51" s="154" t="str">
        <f>ПТО!A10</f>
        <v>Замена светильников в кабине лифта.</v>
      </c>
      <c r="B51" s="154"/>
      <c r="C51" s="154"/>
      <c r="D51" s="154"/>
      <c r="E51" s="154"/>
      <c r="F51" s="159">
        <f>VLOOKUP(A51,ПТО!$A$2:$D$31,4,FALSE)</f>
        <v>1180</v>
      </c>
      <c r="G51" s="159"/>
      <c r="H51" s="25" t="str">
        <f>VLOOKUP(A51,ПТО!$A$2:$D$31,2,FALSE)</f>
        <v>разово</v>
      </c>
      <c r="I51" s="155">
        <f>VLOOKUP(A51,ПТО!$A$2:$D$31,3,FALSE)</f>
        <v>1</v>
      </c>
      <c r="J51" s="155"/>
      <c r="K51" s="108"/>
      <c r="L51" s="171"/>
      <c r="M51" s="115"/>
      <c r="N51" s="108"/>
      <c r="O51" s="23" t="str">
        <f t="shared" si="1"/>
        <v>Замена светильников в кабине лифта.</v>
      </c>
      <c r="R51" s="22" t="s">
        <v>72</v>
      </c>
    </row>
    <row r="52" spans="1:18" ht="51" customHeight="1" outlineLevel="1">
      <c r="A52" s="154" t="str">
        <f>ПТО!A11</f>
        <v>Приобретение и установка прибора учета на электрокотел.</v>
      </c>
      <c r="B52" s="154"/>
      <c r="C52" s="154"/>
      <c r="D52" s="154"/>
      <c r="E52" s="154"/>
      <c r="F52" s="159">
        <f>VLOOKUP(A52,ПТО!$A$2:$D$31,4,FALSE)</f>
        <v>51458.62</v>
      </c>
      <c r="G52" s="159"/>
      <c r="H52" s="25" t="str">
        <f>VLOOKUP(A52,ПТО!$A$2:$D$31,2,FALSE)</f>
        <v>разово</v>
      </c>
      <c r="I52" s="155">
        <f>VLOOKUP(A52,ПТО!$A$2:$D$31,3,FALSE)</f>
        <v>1</v>
      </c>
      <c r="J52" s="155"/>
      <c r="K52" s="108"/>
      <c r="L52" s="171"/>
      <c r="M52" s="115"/>
      <c r="N52" s="108"/>
      <c r="O52" s="23" t="str">
        <f t="shared" si="1"/>
        <v>Приобретение и установка прибора учета на электрокотел.</v>
      </c>
      <c r="R52" s="22" t="s">
        <v>72</v>
      </c>
    </row>
    <row r="53" spans="1:18" ht="51" customHeight="1" outlineLevel="1">
      <c r="A53" s="154" t="str">
        <f>ПТО!A12</f>
        <v>Ремонт дорожного покрытия во круг дома.</v>
      </c>
      <c r="B53" s="154"/>
      <c r="C53" s="154"/>
      <c r="D53" s="154"/>
      <c r="E53" s="154"/>
      <c r="F53" s="159">
        <f>VLOOKUP(A53,ПТО!$A$2:$D$31,4,FALSE)</f>
        <v>4075</v>
      </c>
      <c r="G53" s="159"/>
      <c r="H53" s="25" t="str">
        <f>VLOOKUP(A53,ПТО!$A$2:$D$31,2,FALSE)</f>
        <v>разово</v>
      </c>
      <c r="I53" s="155">
        <f>VLOOKUP(A53,ПТО!$A$2:$D$31,3,FALSE)</f>
        <v>1</v>
      </c>
      <c r="J53" s="155"/>
      <c r="K53" s="108"/>
      <c r="L53" s="171"/>
      <c r="M53" s="115"/>
      <c r="N53" s="108"/>
      <c r="O53" s="23" t="str">
        <f t="shared" si="1"/>
        <v>Ремонт дорожного покрытия во круг дома.</v>
      </c>
      <c r="R53" s="22" t="s">
        <v>72</v>
      </c>
    </row>
    <row r="54" spans="1:18" ht="51" customHeight="1" outlineLevel="1">
      <c r="A54" s="154" t="str">
        <f>ПТО!A13</f>
        <v>Ремонт прибора учета тепловой энергии.</v>
      </c>
      <c r="B54" s="154"/>
      <c r="C54" s="154"/>
      <c r="D54" s="154"/>
      <c r="E54" s="154"/>
      <c r="F54" s="159">
        <f>VLOOKUP(A54,ПТО!$A$2:$D$31,4,FALSE)</f>
        <v>3540</v>
      </c>
      <c r="G54" s="159"/>
      <c r="H54" s="25" t="str">
        <f>VLOOKUP(A54,ПТО!$A$2:$D$31,2,FALSE)</f>
        <v>разово</v>
      </c>
      <c r="I54" s="155">
        <f>VLOOKUP(A54,ПТО!$A$2:$D$31,3,FALSE)</f>
        <v>1</v>
      </c>
      <c r="J54" s="155"/>
      <c r="K54" s="108"/>
      <c r="L54" s="171"/>
      <c r="M54" s="115"/>
      <c r="N54" s="108"/>
      <c r="O54" s="23" t="str">
        <f t="shared" si="1"/>
        <v>Ремонт прибора учета тепловой энергии.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08"/>
      <c r="L55" s="171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08"/>
      <c r="L56" s="171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08"/>
      <c r="L57" s="171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08"/>
      <c r="L58" s="171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08"/>
      <c r="L59" s="171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08"/>
      <c r="L60" s="171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08"/>
      <c r="L61" s="171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08"/>
      <c r="L62" s="171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08"/>
      <c r="L63" s="171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08"/>
      <c r="L64" s="171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08"/>
      <c r="L65" s="171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08"/>
      <c r="L66" s="171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08"/>
      <c r="L67" s="171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08"/>
      <c r="L68" s="171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08"/>
      <c r="L69" s="171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08"/>
      <c r="L70" s="171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5"/>
      <c r="L71" s="17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08"/>
      <c r="L72" s="171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8"/>
      <c r="L75" s="174"/>
      <c r="M75" s="108"/>
      <c r="N75" s="108"/>
      <c r="O75" s="69" t="s">
        <v>99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8"/>
      <c r="L76" s="174"/>
      <c r="M76" s="108"/>
      <c r="N76" s="108"/>
      <c r="O76" s="69" t="s">
        <v>100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8"/>
      <c r="L77" s="174"/>
      <c r="M77" s="108"/>
      <c r="N77" s="108"/>
      <c r="O77" s="69" t="s">
        <v>101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6">
        <f>VLOOKUP(O78,АО,3,FALSE)</f>
        <v>0</v>
      </c>
      <c r="K78" s="108"/>
      <c r="L78" s="174"/>
      <c r="M78" s="108"/>
      <c r="N78" s="108"/>
      <c r="O78" s="69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6">
        <f t="shared" ref="J81:J90" si="2">VLOOKUP(O81,АО,3,FALSE)</f>
        <v>0</v>
      </c>
      <c r="K81" s="108"/>
      <c r="L81" s="160"/>
      <c r="M81" s="108"/>
      <c r="N81" s="108"/>
      <c r="O81" s="69" t="s">
        <v>103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6">
        <f t="shared" si="2"/>
        <v>0</v>
      </c>
      <c r="K82" s="108"/>
      <c r="L82" s="160"/>
      <c r="M82" s="108"/>
      <c r="N82" s="108"/>
      <c r="O82" s="69" t="s">
        <v>104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6">
        <f t="shared" si="2"/>
        <v>207234.66</v>
      </c>
      <c r="K83" s="108"/>
      <c r="L83" s="160"/>
      <c r="M83" s="108"/>
      <c r="N83" s="108"/>
      <c r="O83" s="69" t="s">
        <v>105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6">
        <f t="shared" si="2"/>
        <v>0</v>
      </c>
      <c r="K84" s="108"/>
      <c r="L84" s="160"/>
      <c r="M84" s="108"/>
      <c r="N84" s="108"/>
      <c r="O84" s="69" t="s">
        <v>106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6">
        <f t="shared" si="2"/>
        <v>0</v>
      </c>
      <c r="K85" s="108"/>
      <c r="L85" s="160"/>
      <c r="M85" s="108"/>
      <c r="N85" s="108"/>
      <c r="O85" s="69" t="s">
        <v>107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6">
        <f t="shared" si="2"/>
        <v>143130.47</v>
      </c>
      <c r="K86" s="108"/>
      <c r="L86" s="160"/>
      <c r="M86" s="108"/>
      <c r="N86" s="108"/>
      <c r="O86" s="69" t="s">
        <v>108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8"/>
      <c r="L87" s="160"/>
      <c r="M87" s="108"/>
      <c r="N87" s="108"/>
      <c r="O87" s="69" t="s">
        <v>109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8"/>
      <c r="L88" s="160"/>
      <c r="M88" s="108"/>
      <c r="N88" s="108"/>
      <c r="O88" s="69" t="s">
        <v>110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8"/>
      <c r="L89" s="160"/>
      <c r="M89" s="108"/>
      <c r="N89" s="108"/>
      <c r="O89" s="69" t="s">
        <v>111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6">
        <f t="shared" si="2"/>
        <v>0</v>
      </c>
      <c r="K90" s="108"/>
      <c r="L90" s="160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08"/>
      <c r="L93" s="108"/>
      <c r="M93" s="108"/>
      <c r="N93" s="108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676722.9700000002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593616.64035087742</v>
      </c>
      <c r="L95" s="161"/>
      <c r="O95" s="1" t="s">
        <v>113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713997.28</v>
      </c>
      <c r="L96" s="161"/>
      <c r="O96" s="1" t="s">
        <v>114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61"/>
      <c r="O97" s="1" t="s">
        <v>115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676722.9700000002</v>
      </c>
      <c r="L98" s="161"/>
      <c r="O98" s="1" t="s">
        <v>116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676722.9700000002</v>
      </c>
      <c r="L99" s="161"/>
      <c r="O99" s="1" t="s">
        <v>117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118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119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178280.73000000004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13176.698447893574</v>
      </c>
      <c r="L103" s="161"/>
      <c r="O103" s="1" t="s">
        <v>122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192338.65999999997</v>
      </c>
      <c r="L104" s="161"/>
      <c r="O104" s="1" t="s">
        <v>123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0</v>
      </c>
      <c r="L105" s="161"/>
      <c r="O105" s="1" t="s">
        <v>124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178280.73000000004</v>
      </c>
      <c r="L106" s="161"/>
      <c r="O106" s="1" t="s">
        <v>125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178280.73000000004</v>
      </c>
      <c r="L107" s="161"/>
      <c r="O107" s="1" t="s">
        <v>126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127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128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204717.99999999997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13267.530784186647</v>
      </c>
      <c r="L111" s="161"/>
      <c r="O111" s="1" t="s">
        <v>130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216505.73999999993</v>
      </c>
      <c r="L112" s="161"/>
      <c r="O112" s="1" t="s">
        <v>131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61"/>
      <c r="O113" s="1" t="s">
        <v>132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204717.99999999997</v>
      </c>
      <c r="L114" s="161"/>
      <c r="O114" s="1" t="s">
        <v>133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204717.99999999997</v>
      </c>
      <c r="L115" s="161"/>
      <c r="O115" s="1" t="s">
        <v>134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135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136</v>
      </c>
    </row>
    <row r="118" spans="1:15" ht="32.25" customHeight="1" outlineLevel="1">
      <c r="A118" s="156" t="str">
        <f>IF(VLOOKUP("тко",АО,3,FALSE)&gt;0,"Обращение с ТКО",0)</f>
        <v>Обращение с ТКО</v>
      </c>
      <c r="B118" s="156"/>
      <c r="C118" s="156"/>
      <c r="D118" s="157" t="str">
        <f>IF(VLOOKUP("тко",АО,3,FALSE)&gt;0,VLOOKUP("тко",АО,3,FALSE),0)</f>
        <v>Предоставляется</v>
      </c>
      <c r="E118" s="157"/>
      <c r="F118" s="13" t="str">
        <f>IF(VLOOKUP("тко",АО,3,FALSE)&gt;0,VLOOKUP("тко",АО,4,FALSE),0)</f>
        <v>куб.м.</v>
      </c>
      <c r="G118" s="158">
        <f>VLOOKUP("тко",АО,5,FALSE)</f>
        <v>226992.93000000005</v>
      </c>
      <c r="H118" s="157"/>
      <c r="I118" s="157"/>
      <c r="J118" s="157"/>
      <c r="L118" s="47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400.40382071228248</v>
      </c>
      <c r="L119" s="47"/>
      <c r="O119" s="1" t="s">
        <v>138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226626.07999999996</v>
      </c>
      <c r="L120" s="47"/>
      <c r="O120" s="1" t="s">
        <v>139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366.85000000009313</v>
      </c>
      <c r="L121" s="47"/>
      <c r="O121" s="1" t="s">
        <v>140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226992.93000000005</v>
      </c>
      <c r="L122" s="47"/>
      <c r="O122" s="1" t="s">
        <v>141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226992.93000000005</v>
      </c>
      <c r="L123" s="47"/>
      <c r="O123" s="1" t="s">
        <v>142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6">
        <f>IF(VLOOKUP("гвс",АО,3,FALSE)&gt;0,"Горячее водоснабжение",0)</f>
        <v>0</v>
      </c>
      <c r="B126" s="156"/>
      <c r="C126" s="156"/>
      <c r="D126" s="157">
        <f>IF(VLOOKUP("гвс",АО,3,FALSE)&gt;0,VLOOKUP("гвс",АО,3,FALSE),0)</f>
        <v>0</v>
      </c>
      <c r="E126" s="157"/>
      <c r="F126" s="13">
        <f>IF(VLOOKUP("гвс",АО,3,FALSE)&gt;0,VLOOKUP("гвс",АО,4,FALSE),0)</f>
        <v>0</v>
      </c>
      <c r="G126" s="158">
        <f>VLOOKUP("гвс",АО,5,FALSE)</f>
        <v>0</v>
      </c>
      <c r="H126" s="157"/>
      <c r="I126" s="157"/>
      <c r="J126" s="157"/>
      <c r="L126" s="47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7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170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2" t="s">
        <v>173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0</v>
      </c>
      <c r="O146" t="s">
        <v>172</v>
      </c>
    </row>
    <row r="149" spans="1:15" ht="52.5" customHeight="1">
      <c r="A149" s="177" t="s">
        <v>185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9" t="s">
        <v>191</v>
      </c>
      <c r="B154" s="179"/>
      <c r="C154" s="179"/>
      <c r="D154" s="179"/>
      <c r="E154" s="27">
        <f>ПТО!G1</f>
        <v>-610478.52</v>
      </c>
    </row>
    <row r="155" spans="1:15" ht="34.5" customHeight="1">
      <c r="A155" s="178" t="s">
        <v>193</v>
      </c>
      <c r="B155" s="178"/>
      <c r="C155" s="178"/>
      <c r="D155" s="178"/>
      <c r="E155" s="28">
        <f>J13</f>
        <v>319818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обслуживание системы видеонаблюдения.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33600</v>
      </c>
      <c r="G158" s="159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54" t="str">
        <f t="shared" si="14"/>
        <v>Техническое освидетельствование лифтов.</v>
      </c>
      <c r="B159" s="154"/>
      <c r="C159" s="154"/>
      <c r="D159" s="154"/>
      <c r="E159" s="154"/>
      <c r="F159" s="159">
        <f t="shared" si="15"/>
        <v>16200</v>
      </c>
      <c r="G159" s="159"/>
      <c r="H159" s="24" t="str">
        <f t="shared" si="16"/>
        <v>ежегодно</v>
      </c>
      <c r="I159" s="155">
        <f t="shared" si="17"/>
        <v>2</v>
      </c>
      <c r="J159" s="155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54" t="str">
        <f t="shared" si="14"/>
        <v>Техническое обслуживание охранной сигнализации.</v>
      </c>
      <c r="B160" s="154"/>
      <c r="C160" s="154"/>
      <c r="D160" s="154"/>
      <c r="E160" s="154"/>
      <c r="F160" s="159">
        <f t="shared" si="15"/>
        <v>14400</v>
      </c>
      <c r="G160" s="159"/>
      <c r="H160" s="24" t="str">
        <f t="shared" si="16"/>
        <v>ежемесячно</v>
      </c>
      <c r="I160" s="155">
        <f t="shared" si="17"/>
        <v>12</v>
      </c>
      <c r="J160" s="155"/>
      <c r="M160" s="22" t="s">
        <v>72</v>
      </c>
      <c r="N160" s="1" t="str">
        <v>Техническое обслуживание охранной сигнализации.</v>
      </c>
    </row>
    <row r="161" spans="1:14" ht="28.5" customHeight="1">
      <c r="A161" s="154" t="str">
        <f>IF(N161&gt;0,N161,0)</f>
        <v>Механизированная уборка снега с придомовой территории.</v>
      </c>
      <c r="B161" s="154"/>
      <c r="C161" s="154"/>
      <c r="D161" s="154"/>
      <c r="E161" s="154"/>
      <c r="F161" s="159">
        <f t="shared" si="15"/>
        <v>14235.5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Механизированная уборка снега с придомовой территории.</v>
      </c>
    </row>
    <row r="162" spans="1:14" ht="28.5" customHeight="1">
      <c r="A162" s="154" t="str">
        <f t="shared" si="14"/>
        <v>Ремонт электрокотла Zota (май).</v>
      </c>
      <c r="B162" s="154"/>
      <c r="C162" s="154"/>
      <c r="D162" s="154"/>
      <c r="E162" s="154"/>
      <c r="F162" s="159">
        <f t="shared" si="15"/>
        <v>17233.310000000001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Ремонт электрокотла Zota (май).</v>
      </c>
    </row>
    <row r="163" spans="1:14" ht="28.5" customHeight="1">
      <c r="A163" s="154" t="str">
        <f t="shared" si="14"/>
        <v>Приобретение и установка таблички по пожарной безопасности.</v>
      </c>
      <c r="B163" s="154"/>
      <c r="C163" s="154"/>
      <c r="D163" s="154"/>
      <c r="E163" s="154"/>
      <c r="F163" s="159">
        <f t="shared" si="15"/>
        <v>500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54" t="str">
        <f t="shared" ref="A164:A187" si="18">IF(N164&gt;0,N164,0)</f>
        <v>Замена полотенцесушителей (кв. 63 и кв.19).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6985.8</v>
      </c>
      <c r="G164" s="159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Замена полотенцесушителей (кв. 63 и кв.19).</v>
      </c>
    </row>
    <row r="165" spans="1:14" ht="28.5" customHeight="1">
      <c r="A165" s="154" t="str">
        <f t="shared" si="18"/>
        <v>Ремонт электрокотла Zota (август).</v>
      </c>
      <c r="B165" s="154"/>
      <c r="C165" s="154"/>
      <c r="D165" s="154"/>
      <c r="E165" s="154"/>
      <c r="F165" s="159">
        <f t="shared" si="19"/>
        <v>23326.3</v>
      </c>
      <c r="G165" s="159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Ремонт электрокотла Zota (август).</v>
      </c>
    </row>
    <row r="166" spans="1:14" ht="28.5" customHeight="1">
      <c r="A166" s="154" t="str">
        <f t="shared" si="18"/>
        <v>Замена светильников в кабине лифта.</v>
      </c>
      <c r="B166" s="154"/>
      <c r="C166" s="154"/>
      <c r="D166" s="154"/>
      <c r="E166" s="154"/>
      <c r="F166" s="159">
        <f t="shared" si="19"/>
        <v>1180</v>
      </c>
      <c r="G166" s="159"/>
      <c r="H166" s="29" t="str">
        <f t="shared" si="16"/>
        <v>разово</v>
      </c>
      <c r="I166" s="155">
        <f t="shared" si="20"/>
        <v>1</v>
      </c>
      <c r="J166" s="155"/>
      <c r="M166" s="22" t="s">
        <v>72</v>
      </c>
      <c r="N166" s="1" t="str">
        <v>Замена светильников в кабине лифта.</v>
      </c>
    </row>
    <row r="167" spans="1:14" ht="28.5" customHeight="1">
      <c r="A167" s="154" t="str">
        <f t="shared" si="18"/>
        <v>Приобретение и установка прибора учета на электрокотел.</v>
      </c>
      <c r="B167" s="154"/>
      <c r="C167" s="154"/>
      <c r="D167" s="154"/>
      <c r="E167" s="154"/>
      <c r="F167" s="159">
        <f t="shared" si="19"/>
        <v>51458.62</v>
      </c>
      <c r="G167" s="159"/>
      <c r="H167" s="29" t="str">
        <f t="shared" si="16"/>
        <v>разово</v>
      </c>
      <c r="I167" s="155">
        <f t="shared" si="20"/>
        <v>1</v>
      </c>
      <c r="J167" s="155"/>
      <c r="M167" s="22" t="s">
        <v>72</v>
      </c>
      <c r="N167" s="1" t="str">
        <v>Приобретение и установка прибора учета на электрокотел.</v>
      </c>
    </row>
    <row r="168" spans="1:14" ht="28.5" customHeight="1">
      <c r="A168" s="154" t="str">
        <f t="shared" si="18"/>
        <v>Ремонт дорожного покрытия во круг дома.</v>
      </c>
      <c r="B168" s="154"/>
      <c r="C168" s="154"/>
      <c r="D168" s="154"/>
      <c r="E168" s="154"/>
      <c r="F168" s="159">
        <f t="shared" si="19"/>
        <v>4075</v>
      </c>
      <c r="G168" s="159"/>
      <c r="H168" s="29" t="str">
        <f t="shared" si="16"/>
        <v>разово</v>
      </c>
      <c r="I168" s="155">
        <f t="shared" si="20"/>
        <v>1</v>
      </c>
      <c r="J168" s="155"/>
      <c r="M168" s="22" t="s">
        <v>72</v>
      </c>
      <c r="N168" s="1" t="str">
        <v>Ремонт дорожного покрытия во круг дома.</v>
      </c>
    </row>
    <row r="169" spans="1:14" ht="28.5" customHeight="1">
      <c r="A169" s="154" t="str">
        <f t="shared" si="18"/>
        <v>Ремонт прибора учета тепловой энергии.</v>
      </c>
      <c r="B169" s="154"/>
      <c r="C169" s="154"/>
      <c r="D169" s="154"/>
      <c r="E169" s="154"/>
      <c r="F169" s="159">
        <f t="shared" si="19"/>
        <v>3540</v>
      </c>
      <c r="G169" s="159"/>
      <c r="H169" s="29" t="str">
        <f t="shared" si="16"/>
        <v>разово</v>
      </c>
      <c r="I169" s="155">
        <f t="shared" si="20"/>
        <v>1</v>
      </c>
      <c r="J169" s="155"/>
      <c r="M169" s="22" t="s">
        <v>72</v>
      </c>
      <c r="N169" s="1" t="str">
        <v>Ремонт прибора учета тепловой энергии.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179" t="s">
        <v>194</v>
      </c>
      <c r="B190" s="179"/>
      <c r="C190" s="179"/>
      <c r="D190" s="179"/>
      <c r="E190" s="27">
        <f>SUM(F158:G187)</f>
        <v>186734.53</v>
      </c>
    </row>
    <row r="191" spans="1:14" ht="51.75" customHeight="1">
      <c r="A191" s="179" t="s">
        <v>195</v>
      </c>
      <c r="B191" s="179"/>
      <c r="C191" s="179"/>
      <c r="D191" s="179"/>
      <c r="E191" s="27">
        <f>E190+E154-E155</f>
        <v>-743561.99</v>
      </c>
    </row>
    <row r="192" spans="1:14">
      <c r="A192" s="103" t="s">
        <v>174</v>
      </c>
    </row>
    <row r="193" spans="1:10" ht="62.25" customHeight="1">
      <c r="A193" s="153" t="s">
        <v>192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48">
        <f>ПТО!G12</f>
        <v>1200</v>
      </c>
      <c r="I194" s="49" t="s">
        <v>74</v>
      </c>
    </row>
    <row r="195" spans="1:10" ht="18.75" customHeight="1">
      <c r="A195" s="151" t="str">
        <f>ПТО!F13</f>
        <v xml:space="preserve">  -  техническое освидетельствование лифтов</v>
      </c>
      <c r="B195" s="151"/>
      <c r="C195" s="151"/>
      <c r="D195" s="151"/>
      <c r="E195" s="151"/>
      <c r="F195" s="151"/>
      <c r="G195" s="151"/>
      <c r="H195" s="48">
        <f>ПТО!G13</f>
        <v>16200</v>
      </c>
      <c r="I195" s="49" t="s">
        <v>74</v>
      </c>
    </row>
    <row r="196" spans="1:10" ht="18.75" customHeight="1">
      <c r="A196" s="151" t="str">
        <f>ПТО!F14</f>
        <v xml:space="preserve">  -  техническое обслуживание системы видеонаблюдения</v>
      </c>
      <c r="B196" s="151"/>
      <c r="C196" s="151"/>
      <c r="D196" s="151"/>
      <c r="E196" s="151"/>
      <c r="F196" s="151"/>
      <c r="G196" s="151"/>
      <c r="H196" s="48">
        <f>ПТО!G14</f>
        <v>33600</v>
      </c>
      <c r="I196" s="49" t="s">
        <v>74</v>
      </c>
    </row>
    <row r="197" spans="1:10" ht="18.75" customHeight="1">
      <c r="A197" s="151" t="str">
        <f>ПТО!F15</f>
        <v xml:space="preserve">  -  техническое обслуживание охранной сигнализации</v>
      </c>
      <c r="B197" s="151"/>
      <c r="C197" s="151"/>
      <c r="D197" s="151"/>
      <c r="E197" s="151"/>
      <c r="F197" s="151"/>
      <c r="G197" s="151"/>
      <c r="H197" s="48">
        <f>ПТО!G15</f>
        <v>14400</v>
      </c>
      <c r="I197" s="49" t="s">
        <v>74</v>
      </c>
    </row>
    <row r="198" spans="1:10" ht="18.75" customHeight="1">
      <c r="A198" s="151" t="str">
        <f>ПТО!F16</f>
        <v xml:space="preserve">  -  ремонт  подъездов</v>
      </c>
      <c r="B198" s="151"/>
      <c r="C198" s="151"/>
      <c r="D198" s="151"/>
      <c r="E198" s="151"/>
      <c r="F198" s="151"/>
      <c r="G198" s="151"/>
      <c r="H198" s="48">
        <f>ПТО!G16</f>
        <v>600000</v>
      </c>
      <c r="I198" s="51" t="s">
        <v>74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48">
        <f>ПТО!G17</f>
        <v>0</v>
      </c>
      <c r="I199" s="49" t="s">
        <v>74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48">
        <f>ПТО!G18</f>
        <v>0</v>
      </c>
      <c r="I200" s="49" t="s">
        <v>74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48">
        <f>ПТО!G19</f>
        <v>0</v>
      </c>
      <c r="I201" s="49" t="s">
        <v>74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48">
        <f>ПТО!G20</f>
        <v>0</v>
      </c>
      <c r="I202" s="49" t="s">
        <v>74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48">
        <f>ПТО!G21</f>
        <v>0</v>
      </c>
      <c r="I203" s="49" t="s">
        <v>74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48">
        <f>ПТО!G22</f>
        <v>0</v>
      </c>
      <c r="I204" s="49" t="s">
        <v>74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48">
        <f>ПТО!G23</f>
        <v>0</v>
      </c>
      <c r="I205" s="49" t="s">
        <v>74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48">
        <f>ПТО!G24</f>
        <v>0</v>
      </c>
      <c r="I206" s="49" t="s">
        <v>74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48">
        <f>ПТО!G25</f>
        <v>0</v>
      </c>
      <c r="I207" s="49" t="s">
        <v>74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48">
        <f>ПТО!G26</f>
        <v>0</v>
      </c>
      <c r="I208" s="49" t="s">
        <v>74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48">
        <f>ПТО!G27</f>
        <v>0</v>
      </c>
      <c r="I209" s="49" t="s">
        <v>74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48">
        <f>ПТО!G28</f>
        <v>0</v>
      </c>
      <c r="I210" s="49" t="s">
        <v>74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48">
        <f>ПТО!G29</f>
        <v>0</v>
      </c>
      <c r="I211" s="49" t="s">
        <v>74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48">
        <f>ПТО!G30</f>
        <v>0</v>
      </c>
      <c r="I212" s="49" t="s">
        <v>74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665400</v>
      </c>
      <c r="I214" s="55" t="s">
        <v>77</v>
      </c>
    </row>
  </sheetData>
  <sheetProtection algorithmName="SHA-512" hashValue="qUjlWWGlL5azckZ08xl3ySquBWHuA8tz9h2u2aPWXiUl5FNukZJkTE2ryhnlltHFH+VZpEaDgab6P7VafzBglA==" saltValue="LgFxZyTTlHbIjjsQSYh2D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191</v>
      </c>
      <c r="G1" s="100">
        <f>-610478.52</f>
        <v>-610478.52</v>
      </c>
    </row>
    <row r="2" spans="1:12" ht="18.75" customHeight="1">
      <c r="A2" s="145" t="s">
        <v>178</v>
      </c>
      <c r="B2" s="146" t="s">
        <v>180</v>
      </c>
      <c r="C2" s="147">
        <v>12</v>
      </c>
      <c r="D2" s="148">
        <f>2800*12</f>
        <v>33600</v>
      </c>
      <c r="E2"/>
      <c r="F2" s="32"/>
      <c r="G2" s="32"/>
      <c r="L2" s="33" t="str">
        <f t="shared" ref="L2:L22" si="0">IF(A2&gt;0,"ТР",0)</f>
        <v>ТР</v>
      </c>
    </row>
    <row r="3" spans="1:12" ht="18.75" customHeight="1">
      <c r="A3" s="145" t="s">
        <v>179</v>
      </c>
      <c r="B3" s="149" t="s">
        <v>181</v>
      </c>
      <c r="C3" s="149">
        <v>2</v>
      </c>
      <c r="D3" s="148">
        <v>16200</v>
      </c>
      <c r="E3"/>
      <c r="F3" s="30"/>
      <c r="G3" s="30"/>
      <c r="L3" s="33" t="str">
        <f t="shared" si="0"/>
        <v>ТР</v>
      </c>
    </row>
    <row r="4" spans="1:12" ht="18.75" customHeight="1">
      <c r="A4" s="150" t="s">
        <v>186</v>
      </c>
      <c r="B4" s="146" t="s">
        <v>180</v>
      </c>
      <c r="C4" s="149">
        <v>12</v>
      </c>
      <c r="D4" s="148">
        <f>1200*12</f>
        <v>14400</v>
      </c>
      <c r="E4" s="121" t="s">
        <v>188</v>
      </c>
      <c r="F4" s="30"/>
      <c r="G4" s="30"/>
      <c r="L4" s="33" t="str">
        <f t="shared" si="0"/>
        <v>ТР</v>
      </c>
    </row>
    <row r="5" spans="1:12" ht="18.75" customHeight="1">
      <c r="A5" s="122" t="s">
        <v>189</v>
      </c>
      <c r="B5" s="117" t="s">
        <v>190</v>
      </c>
      <c r="C5" s="123">
        <v>1</v>
      </c>
      <c r="D5" s="118">
        <v>14235.5</v>
      </c>
      <c r="E5" s="124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2" t="s">
        <v>200</v>
      </c>
      <c r="B6" s="117" t="s">
        <v>190</v>
      </c>
      <c r="C6" s="123">
        <v>1</v>
      </c>
      <c r="D6" s="118">
        <v>17233.310000000001</v>
      </c>
      <c r="E6" s="119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5" t="s">
        <v>196</v>
      </c>
      <c r="B7" s="126" t="s">
        <v>190</v>
      </c>
      <c r="C7" s="127">
        <v>1</v>
      </c>
      <c r="D7" s="128">
        <v>500</v>
      </c>
      <c r="E7" s="121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29" t="s">
        <v>199</v>
      </c>
      <c r="B8" s="130" t="s">
        <v>190</v>
      </c>
      <c r="C8" s="131">
        <v>1</v>
      </c>
      <c r="D8" s="43">
        <v>6985.8</v>
      </c>
      <c r="E8" s="120" t="s">
        <v>204</v>
      </c>
      <c r="F8" s="45"/>
      <c r="G8" s="45"/>
      <c r="K8" s="43"/>
      <c r="L8" s="33" t="str">
        <f t="shared" si="0"/>
        <v>ТР</v>
      </c>
    </row>
    <row r="9" spans="1:12">
      <c r="A9" s="122" t="s">
        <v>201</v>
      </c>
      <c r="B9" s="140" t="s">
        <v>190</v>
      </c>
      <c r="C9" s="131">
        <v>1</v>
      </c>
      <c r="D9" s="43">
        <v>23326.3</v>
      </c>
      <c r="E9" s="120" t="s">
        <v>209</v>
      </c>
      <c r="F9" s="44"/>
      <c r="G9" s="44"/>
      <c r="K9" s="43"/>
      <c r="L9" s="33" t="str">
        <f t="shared" si="0"/>
        <v>ТР</v>
      </c>
    </row>
    <row r="10" spans="1:12">
      <c r="A10" s="44" t="s">
        <v>205</v>
      </c>
      <c r="B10" s="132" t="s">
        <v>190</v>
      </c>
      <c r="C10" s="131">
        <v>1</v>
      </c>
      <c r="D10" s="133">
        <v>1180</v>
      </c>
      <c r="E10" s="120" t="s">
        <v>206</v>
      </c>
      <c r="L10" s="33" t="str">
        <f t="shared" si="0"/>
        <v>ТР</v>
      </c>
    </row>
    <row r="11" spans="1:12" ht="94.5">
      <c r="A11" s="137" t="s">
        <v>207</v>
      </c>
      <c r="B11" s="134" t="s">
        <v>190</v>
      </c>
      <c r="C11" s="126">
        <v>1</v>
      </c>
      <c r="D11" s="136">
        <v>51458.62</v>
      </c>
      <c r="E11" s="135" t="s">
        <v>208</v>
      </c>
      <c r="F11" s="110" t="s">
        <v>192</v>
      </c>
      <c r="G11" s="110"/>
      <c r="L11" s="33" t="str">
        <f t="shared" si="0"/>
        <v>ТР</v>
      </c>
    </row>
    <row r="12" spans="1:12" ht="31.5">
      <c r="A12" s="44" t="s">
        <v>202</v>
      </c>
      <c r="B12" s="132" t="s">
        <v>190</v>
      </c>
      <c r="C12" s="131">
        <v>1</v>
      </c>
      <c r="D12" s="43">
        <v>4075</v>
      </c>
      <c r="E12" s="120" t="s">
        <v>210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41" t="s">
        <v>211</v>
      </c>
      <c r="B13" s="142" t="s">
        <v>190</v>
      </c>
      <c r="C13" s="126">
        <v>1</v>
      </c>
      <c r="D13" s="143">
        <v>3540</v>
      </c>
      <c r="E13" s="144" t="s">
        <v>212</v>
      </c>
      <c r="F13" s="111" t="s">
        <v>183</v>
      </c>
      <c r="G13" s="112">
        <v>16200</v>
      </c>
      <c r="L13" s="33" t="str">
        <f t="shared" si="0"/>
        <v>ТР</v>
      </c>
    </row>
    <row r="14" spans="1:12" ht="31.5">
      <c r="A14" s="138"/>
      <c r="B14" s="139"/>
      <c r="C14" s="126"/>
      <c r="D14" s="136"/>
      <c r="E14" s="135"/>
      <c r="F14" s="111" t="s">
        <v>75</v>
      </c>
      <c r="G14" s="113">
        <v>33600</v>
      </c>
      <c r="L14" s="33">
        <f t="shared" si="0"/>
        <v>0</v>
      </c>
    </row>
    <row r="15" spans="1:12" ht="31.5">
      <c r="A15" s="30"/>
      <c r="F15" s="111" t="s">
        <v>187</v>
      </c>
      <c r="G15" s="113">
        <v>14400</v>
      </c>
      <c r="L15" s="33">
        <f t="shared" si="0"/>
        <v>0</v>
      </c>
    </row>
    <row r="16" spans="1:12" ht="15.75">
      <c r="A16" s="30"/>
      <c r="F16" s="111" t="s">
        <v>184</v>
      </c>
      <c r="G16" s="112">
        <v>600000</v>
      </c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416630.04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416630.04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107803.8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107803.8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45658.080000000002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45658.080000000002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76096.800000000003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76096.800000000003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22194.959999999999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22194.959999999999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111608.64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111608.64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253021.92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253021.92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a0+xLQ1VLdrks/dKKayWEGElF+7U/wdJmq8GmtGXHp1PVd9PhbxPWIfyYy36pRyTDZYgl5Ok2fL6KdrNd7HLAA==" saltValue="d6FOe245HkrXTjBccuM9d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182</v>
      </c>
      <c r="F1" s="59">
        <v>5330.3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308052.7899999998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1311118.7199999997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991300.71999999974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F1*5*12</f>
        <v>319818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1311333.6100000003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1311333.6100000003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1311333.6100000003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307837.89999999921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82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82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82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82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1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1"/>
      <c r="N26" s="62"/>
    </row>
    <row r="27" spans="1:15" ht="18.75" customHeight="1">
      <c r="A27" s="69" t="s">
        <v>105</v>
      </c>
      <c r="B27" s="74" t="s">
        <v>4</v>
      </c>
      <c r="C27" s="85">
        <v>207234.66</v>
      </c>
      <c r="D27" s="80" t="s">
        <v>60</v>
      </c>
      <c r="E27" s="63"/>
      <c r="F27" s="63"/>
      <c r="G27" s="63"/>
      <c r="H27" s="63"/>
      <c r="I27" s="63"/>
      <c r="J27" s="63"/>
      <c r="M27" s="181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1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1"/>
      <c r="N29" s="62"/>
    </row>
    <row r="30" spans="1:15" ht="18.75" customHeight="1">
      <c r="A30" s="69" t="s">
        <v>108</v>
      </c>
      <c r="B30" s="74" t="s">
        <v>18</v>
      </c>
      <c r="C30" s="85">
        <v>143130.47</v>
      </c>
      <c r="D30" s="80" t="s">
        <v>66</v>
      </c>
      <c r="E30" s="63"/>
      <c r="F30" s="63"/>
      <c r="G30" s="63"/>
      <c r="H30" s="63"/>
      <c r="I30" s="63"/>
      <c r="J30" s="63"/>
      <c r="M30" s="181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1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1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1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1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676722.9700000002</v>
      </c>
      <c r="F37" s="93" t="s">
        <v>167</v>
      </c>
      <c r="G37" s="65"/>
      <c r="H37" s="65"/>
      <c r="I37" s="65"/>
      <c r="L37" s="62"/>
      <c r="M37" s="180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593616.64035087742</v>
      </c>
      <c r="D38" s="93" t="s">
        <v>165</v>
      </c>
      <c r="E38" s="67"/>
      <c r="G38" s="66"/>
      <c r="H38" s="66"/>
      <c r="L38" s="62"/>
      <c r="M38" s="180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713997.28</v>
      </c>
      <c r="D39" s="93" t="s">
        <v>166</v>
      </c>
      <c r="E39" s="67"/>
      <c r="G39" s="66"/>
      <c r="H39" s="66"/>
      <c r="L39" s="62"/>
      <c r="M39" s="180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80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676722.9700000002</v>
      </c>
      <c r="D41" s="79" t="s">
        <v>59</v>
      </c>
      <c r="E41" s="67"/>
      <c r="G41" s="66"/>
      <c r="H41" s="66"/>
      <c r="L41" s="62"/>
      <c r="M41" s="180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676722.9700000002</v>
      </c>
      <c r="D42" s="79" t="s">
        <v>59</v>
      </c>
      <c r="E42" s="67"/>
      <c r="G42" s="66"/>
      <c r="H42" s="66"/>
      <c r="L42" s="62"/>
      <c r="M42" s="180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0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0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178280.73000000004</v>
      </c>
      <c r="F45" s="93" t="s">
        <v>167</v>
      </c>
      <c r="G45" s="65"/>
      <c r="H45" s="65"/>
      <c r="L45" s="62"/>
      <c r="M45" s="180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13176.698447893574</v>
      </c>
      <c r="D46" s="93" t="s">
        <v>168</v>
      </c>
      <c r="E46" s="67"/>
      <c r="G46" s="66"/>
      <c r="H46" s="66"/>
      <c r="L46" s="62"/>
      <c r="M46" s="180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192338.65999999997</v>
      </c>
      <c r="D47" s="93" t="s">
        <v>166</v>
      </c>
      <c r="E47" s="67"/>
      <c r="G47" s="66"/>
      <c r="H47" s="66"/>
      <c r="L47" s="62"/>
      <c r="M47" s="180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80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178280.73000000004</v>
      </c>
      <c r="D49" s="79" t="s">
        <v>59</v>
      </c>
      <c r="E49" s="67"/>
      <c r="G49" s="66"/>
      <c r="H49" s="66"/>
      <c r="L49" s="62"/>
      <c r="M49" s="180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178280.73000000004</v>
      </c>
      <c r="D50" s="79" t="s">
        <v>59</v>
      </c>
      <c r="E50" s="67"/>
      <c r="G50" s="66"/>
      <c r="H50" s="66"/>
      <c r="L50" s="62"/>
      <c r="M50" s="180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0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0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204717.99999999997</v>
      </c>
      <c r="F53" s="93" t="s">
        <v>167</v>
      </c>
      <c r="G53" s="65"/>
      <c r="H53" s="65"/>
      <c r="L53" s="62"/>
      <c r="M53" s="180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13267.530784186647</v>
      </c>
      <c r="D54" s="93" t="s">
        <v>168</v>
      </c>
      <c r="E54" s="68"/>
      <c r="F54" s="88"/>
      <c r="G54" s="63"/>
      <c r="H54" s="63"/>
      <c r="L54" s="62"/>
      <c r="M54" s="180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216505.73999999993</v>
      </c>
      <c r="D55" s="93" t="s">
        <v>166</v>
      </c>
      <c r="E55" s="68"/>
      <c r="G55" s="63"/>
      <c r="H55" s="63"/>
      <c r="L55" s="62"/>
      <c r="M55" s="180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80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204717.99999999997</v>
      </c>
      <c r="D57" s="79" t="s">
        <v>59</v>
      </c>
      <c r="E57" s="68"/>
      <c r="G57" s="63"/>
      <c r="H57" s="63"/>
      <c r="L57" s="62"/>
      <c r="M57" s="180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204717.99999999997</v>
      </c>
      <c r="D58" s="79" t="s">
        <v>59</v>
      </c>
      <c r="E58" s="68"/>
      <c r="G58" s="63"/>
      <c r="H58" s="63"/>
      <c r="L58" s="62"/>
      <c r="M58" s="180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0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0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226992.93000000005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400.40382071228248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226626.07999999996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366.85000000009313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226992.93000000005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226992.93000000005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>
        <v>0</v>
      </c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>
        <v>0</v>
      </c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>
        <v>0</v>
      </c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>
        <v>0</v>
      </c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>
        <v>0</v>
      </c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2021-03-16T06:15:42Z</dcterms:modified>
</cp:coreProperties>
</file>