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8mKZnAPM8dlLNA+mafOpEH/esTU6uLQyw7DpFn1VulgrqoxZ63kXRoOLjE/Rqwfzi1t5m+bWB9A/7mFi/BWpIg==" workbookSaltValue="Mah3sjaxMFjCMMBaSQgd7w==" workbookSpinCount="100000" lockStructure="1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3" i="2" l="1"/>
  <c r="D2" i="2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4" i="1"/>
  <c r="A111" i="1"/>
  <c r="G110" i="1"/>
  <c r="A110" i="1"/>
  <c r="J109" i="1"/>
  <c r="J104" i="1"/>
  <c r="J103" i="1"/>
  <c r="A109" i="1"/>
  <c r="A105" i="1"/>
  <c r="A104" i="1"/>
  <c r="A103" i="1"/>
  <c r="G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02" i="1" l="1"/>
  <c r="A106" i="1"/>
  <c r="F102" i="1"/>
  <c r="A107" i="1"/>
  <c r="A119" i="1"/>
  <c r="D110" i="1"/>
  <c r="A112" i="1"/>
  <c r="A116" i="1"/>
  <c r="A123" i="1"/>
  <c r="F110" i="1"/>
  <c r="A113" i="1"/>
  <c r="A118" i="1"/>
  <c r="D118" i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8" i="1" l="1"/>
  <c r="F171" i="1"/>
  <c r="H181" i="1"/>
  <c r="F172" i="1"/>
  <c r="H174" i="1"/>
  <c r="H173" i="1"/>
  <c r="F173" i="1"/>
  <c r="H167" i="1"/>
  <c r="H171" i="1"/>
  <c r="F175" i="1"/>
  <c r="F181" i="1"/>
  <c r="H175" i="1"/>
  <c r="F167" i="1"/>
  <c r="F184" i="1"/>
  <c r="H184" i="1"/>
  <c r="H172" i="1"/>
  <c r="H187" i="1"/>
  <c r="H166" i="1"/>
  <c r="F168" i="1"/>
  <c r="F176" i="1"/>
  <c r="F180" i="1"/>
  <c r="F177" i="1"/>
  <c r="H168" i="1"/>
  <c r="H186" i="1"/>
  <c r="H179" i="1"/>
  <c r="H170" i="1"/>
  <c r="F182" i="1"/>
  <c r="F165" i="1"/>
  <c r="F166" i="1"/>
  <c r="H177" i="1"/>
  <c r="F179" i="1"/>
  <c r="F170" i="1"/>
  <c r="H165" i="1"/>
  <c r="F187" i="1"/>
  <c r="H182" i="1"/>
  <c r="H176" i="1"/>
  <c r="F186" i="1"/>
  <c r="H164" i="1"/>
  <c r="F178" i="1"/>
  <c r="F185" i="1"/>
  <c r="F164" i="1"/>
  <c r="H169" i="1"/>
  <c r="F169" i="1"/>
  <c r="H185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<sst xmlns="http://schemas.openxmlformats.org/spreadsheetml/2006/main" count="587" uniqueCount="223">
  <si>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</si>
  <si>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</si>
  <si>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</si>
  <si>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</si>
  <si>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</si>
  <si>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</si>
  <si>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</si>
  <si>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</si>
  <si>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</si>
  <si>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</si>
  <si>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</si>
  <si>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</si>
  <si>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</si>
  <si>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</si>
  <si>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</si>
  <si>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</si>
  <si>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</si>
  <si>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</si>
  <si>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</si>
  <si>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</si>
  <si>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</si>
  <si>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</si>
  <si>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</si>
  <si>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</si>
  <si>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</si>
  <si>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</si>
  <si>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</si>
  <si>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</si>
  <si>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</si>
  <si>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</si>
  <si>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</si>
  <si>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</si>
  <si>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</si>
  <si>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</si>
  <si>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</si>
  <si>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</si>
  <si>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</si>
  <si>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</si>
  <si>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</si>
  <si>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</si>
  <si>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</si>
  <si>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</si>
  <si>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</si>
  <si>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</si>
  <si>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</si>
  <si>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</si>
  <si>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</si>
  <si>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</si>
  <si>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</si>
  <si>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</si>
  <si>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</si>
  <si>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</si>
  <si>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</si>
  <si>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</si>
  <si>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</si>
  <si>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</si>
  <si>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</si>
  <si>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</si>
  <si>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</si>
  <si>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</si>
  <si>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</si>
  <si>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</si>
  <si>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</si>
  <si>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</si>
  <si>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</si>
  <si>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</si>
  <si>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</si>
  <si>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</si>
  <si>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</si>
  <si>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</si>
  <si>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</si>
  <si>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</si>
  <si>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</si>
  <si>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</si>
  <si>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</si>
  <si>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</si>
  <si>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</si>
  <si>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</si>
  <si>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</si>
  <si>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</si>
  <si>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</si>
  <si>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</si>
  <si>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</si>
  <si>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</si>
  <si>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</si>
  <si>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</si>
  <si>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</si>
  <si>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</si>
  <si>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</si>
  <si>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</si>
  <si>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</si>
  <si>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</si>
  <si>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</si>
  <si>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</si>
  <si>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</si>
  <si>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</si>
  <si>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</si>
  <si>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</si>
  <si>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</si>
  <si>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</si>
  <si>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</si>
  <si>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</si>
  <si>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</si>
  <si>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</si>
  <si>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</si>
  <si>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</si>
  <si>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</si>
  <si>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</si>
  <si>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</si>
  <si>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</si>
  <si>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</si>
  <si>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</si>
  <si>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</si>
  <si>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</si>
  <si>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</si>
  <si>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</si>
  <si>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</si>
  <si>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</si>
  <si>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</si>
  <si>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</si>
  <si>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</si>
  <si>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</si>
  <si>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</si>
  <si>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</si>
  <si>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</si>
  <si>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</si>
  <si>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</si>
  <si>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</si>
  <si>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</si>
  <si>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</si>
  <si>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</si>
  <si>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</si>
  <si>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</si>
  <si>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</si>
  <si>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</si>
  <si>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</si>
  <si>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</si>
  <si>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</si>
  <si>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</si>
  <si>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</si>
  <si>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</si>
  <si>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</si>
  <si>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</si>
  <si>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</si>
  <si>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</si>
  <si>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</si>
  <si>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</si>
  <si>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</si>
  <si>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</si>
  <si>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</si>
  <si>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</si>
  <si>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</si>
  <si>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</si>
  <si>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</si>
  <si>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</si>
  <si>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</si>
  <si>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</si>
  <si>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</si>
  <si>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</si>
  <si>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</si>
  <si>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</si>
  <si>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</si>
  <si>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</si>
  <si>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</si>
  <si>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</si>
  <si>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</si>
  <si>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</si>
  <si>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</si>
  <si>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</si>
  <si>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</si>
  <si>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</si>
  <si>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</si>
  <si>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</si>
  <si>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</si>
  <si>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12/3</t>
  </si>
  <si>
    <t>Техническое освидетельствование лифтов.</t>
  </si>
  <si>
    <t>Техническое обслуживание охранной сигнализации.</t>
  </si>
  <si>
    <t>Вывоз снега с придомовой территории.</t>
  </si>
  <si>
    <t>ежегодно</t>
  </si>
  <si>
    <t>ежемесячно</t>
  </si>
  <si>
    <t>разово</t>
  </si>
  <si>
    <t>площадь дома</t>
  </si>
  <si>
    <t>Отчет об исполнении договора управления многоквартирного дома 
Юрия Тена, 12/3 в части текущего ремонта</t>
  </si>
  <si>
    <t>Начало отчетного периода</t>
  </si>
  <si>
    <t xml:space="preserve"> - поверка (замена) манометров и термометров</t>
  </si>
  <si>
    <t xml:space="preserve"> - работы по выбору (решению) общего собрания или совета дома</t>
  </si>
  <si>
    <t>Работы по обеспечению вывоза твердых бытовых отходов</t>
  </si>
  <si>
    <t>Итого выполнено работ в 2017 года (руб.):</t>
  </si>
  <si>
    <t>Перерасход (+) или экономия 
(-) средств по состоянию на 31 декабря 2017 года (руб.):</t>
  </si>
  <si>
    <t>В 2018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</si>
  <si>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в 2016 году (руб.)</t>
  </si>
  <si>
    <t>353866.88</t>
  </si>
  <si>
    <t>Монтаж системы видеонаблюдения.</t>
  </si>
  <si>
    <t>Монтаж ограждения лестничного марша.</t>
  </si>
  <si>
    <t>Монтаж окна на 13 этаже.</t>
  </si>
  <si>
    <t>Приобретение и установка парковочных столбиков возле подъезда.</t>
  </si>
  <si>
    <t>Приобретение и установка парковочных столбиков проход на лестницу.</t>
  </si>
  <si>
    <t>Изготовление и монтаж табличек "Выгул собак запрещен".</t>
  </si>
  <si>
    <t>Ремонт светильников и установка светодиодных ламп в подъезде.</t>
  </si>
  <si>
    <t>Благоустройство территрии (посадка цветов).</t>
  </si>
  <si>
    <t>Изготовление и монтаж вх. двери.</t>
  </si>
  <si>
    <t>Изготовление и установка ограждения газона.</t>
  </si>
  <si>
    <t>Генеральная уборка подъезда.</t>
  </si>
  <si>
    <t>Установка и приобретение дорожных знаков.</t>
  </si>
  <si>
    <t>Установка гирлянд над подъездом.</t>
  </si>
  <si>
    <t>АВР от 31.12.2017</t>
  </si>
  <si>
    <t>АВР от 14.03.2017</t>
  </si>
  <si>
    <t>АВР от 06.09.2017, Решение, Счет №С-5971 от 23.09.2016</t>
  </si>
  <si>
    <t>АВР от 16.06.2017, Решение, Счет №170 от 05.06.2017</t>
  </si>
  <si>
    <t>АВР от 16.06.2017, Решение, Счет №17 от 29.05.2017, Акт 16.06.2017</t>
  </si>
  <si>
    <t>Решение, АВР от 10.07.2017</t>
  </si>
  <si>
    <t>АВР от 01.06.2017</t>
  </si>
  <si>
    <t>АВР от 06.06.2017</t>
  </si>
  <si>
    <t>АВР от 07.06.2017</t>
  </si>
  <si>
    <t>АВР от 06.09.2017</t>
  </si>
  <si>
    <t>АВР от 19.10.2017</t>
  </si>
  <si>
    <t>АВР от 14.12.2017</t>
  </si>
  <si>
    <t xml:space="preserve"> - техническое освидетельствование двух лифтов</t>
  </si>
  <si>
    <t xml:space="preserve"> - тех. обслуживание охранной сигнализации (за 1 год)</t>
  </si>
  <si>
    <t xml:space="preserve"> - непредвиденные затраты (компенсаторы, арматура, эл.арматура, замки и т.д.)</t>
  </si>
  <si>
    <t>АВР от 07.03.2017, АВР от 14.12.2017</t>
  </si>
  <si>
    <t>Приобретение и установка информационного стенда.</t>
  </si>
  <si>
    <t>Начислено за  текущий ремонт в 2017 году (руб.):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</si>
</sst>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2" fillId="0" borderId="0"/>
    <xf numFmtId="0" fontId="1" fillId="0" borderId="0"/>
  </cellStyleXfs>
  <cellXfs count="17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4" fillId="0" borderId="0" xfId="2" applyFill="1" applyBorder="1" applyAlignment="1"/>
    <xf numFmtId="0" fontId="0" fillId="0" borderId="0" xfId="0" applyBorder="1"/>
    <xf numFmtId="0" fontId="16" fillId="0" borderId="0" xfId="2" applyFon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vertical="center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 applyFill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0" fontId="0" fillId="0" borderId="0" xfId="0" applyFill="1" applyBorder="1" applyAlignment="1">
      <alignment horizontal="left"/>
    </xf>
    <xf numFmtId="0" fontId="2" fillId="0" borderId="1" xfId="5" applyBorder="1" applyAlignment="1">
      <alignment horizontal="center"/>
    </xf>
    <xf numFmtId="0" fontId="0" fillId="0" borderId="1" xfId="0" applyBorder="1" applyAlignment="1">
      <alignment horizontal="center"/>
    </xf>
    <xf numFmtId="4" fontId="16" fillId="0" borderId="1" xfId="0" applyNumberFormat="1" applyFont="1" applyFill="1" applyBorder="1" applyAlignment="1"/>
    <xf numFmtId="0" fontId="0" fillId="0" borderId="1" xfId="0" applyBorder="1"/>
    <xf numFmtId="4" fontId="0" fillId="0" borderId="1" xfId="0" applyNumberFormat="1" applyBorder="1" applyAlignment="1"/>
    <xf numFmtId="0" fontId="0" fillId="0" borderId="1" xfId="0" applyFill="1" applyBorder="1" applyAlignment="1"/>
    <xf numFmtId="0" fontId="2" fillId="0" borderId="1" xfId="5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/>
    <xf numFmtId="0" fontId="0" fillId="0" borderId="1" xfId="0" applyFill="1" applyBorder="1"/>
    <xf numFmtId="0" fontId="1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26" fillId="0" borderId="0" xfId="0" applyNumberFormat="1" applyFont="1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5" borderId="1" xfId="0" applyFill="1" applyBorder="1" applyAlignment="1"/>
    <xf numFmtId="0" fontId="16" fillId="5" borderId="1" xfId="0" applyFont="1" applyFill="1" applyBorder="1" applyAlignment="1"/>
    <xf numFmtId="0" fontId="0" fillId="5" borderId="1" xfId="0" applyFill="1" applyBorder="1" applyAlignment="1">
      <alignment vertical="center" wrapText="1"/>
    </xf>
    <xf numFmtId="0" fontId="27" fillId="5" borderId="1" xfId="0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8" fillId="0" borderId="1" xfId="0" applyFont="1" applyBorder="1" applyAlignment="1">
      <alignment horizontal="left" wrapText="1"/>
    </xf>
    <xf numFmtId="0" fontId="8" fillId="0" borderId="1" xfId="1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81" zoomScaleNormal="100" zoomScaleSheetLayoutView="100" workbookViewId="0">
      <selection activeCell="G154" sqref="G15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0" style="1" hidden="1" customWidth="1"/>
    <col min="12" max="12" width="17.42578125" style="1" hidden="1" customWidth="1"/>
    <col min="13" max="13" width="20.85546875" style="1" hidden="1" customWidth="1"/>
    <col min="14" max="14" width="33" style="1" hidden="1" customWidth="1"/>
    <col min="15" max="17" width="0" style="1" hidden="1" customWidth="1"/>
    <col min="18" max="18" width="14.42578125" style="1" hidden="1" customWidth="1"/>
    <col min="19" max="22" width="0" style="1" hidden="1" customWidth="1"/>
    <col min="23" max="23" width="15.42578125" style="1" hidden="1" customWidth="1"/>
    <col min="24" max="26" width="0" style="1" hidden="1" customWidth="1"/>
    <col min="27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58" t="s">
        <v>174</v>
      </c>
      <c r="B2" s="158"/>
      <c r="C2" s="158"/>
      <c r="D2" s="158"/>
      <c r="E2" s="158"/>
      <c r="F2" s="158"/>
      <c r="G2" s="158"/>
      <c r="H2" s="158"/>
      <c r="I2" s="158"/>
      <c r="J2" s="15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183</v>
      </c>
      <c r="E4" s="116">
        <v>42736</v>
      </c>
      <c r="K4" s="109"/>
      <c r="L4" s="109"/>
      <c r="M4" s="109"/>
      <c r="N4" s="109"/>
    </row>
    <row r="5" spans="1:18">
      <c r="A5" s="1" t="s">
        <v>0</v>
      </c>
      <c r="E5" s="116">
        <v>43100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52" t="s">
        <v>1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09"/>
      <c r="L8" s="159"/>
      <c r="M8" s="109"/>
      <c r="N8" s="109"/>
      <c r="O8" s="70" t="s">
        <v>79</v>
      </c>
      <c r="R8" s="16"/>
    </row>
    <row r="9" spans="1:18" ht="18.75" customHeight="1" outlineLevel="1">
      <c r="A9" s="152" t="s">
        <v>2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09"/>
      <c r="L9" s="159"/>
      <c r="M9" s="109"/>
      <c r="N9" s="109"/>
      <c r="O9" s="70" t="s">
        <v>80</v>
      </c>
    </row>
    <row r="10" spans="1:18" ht="18.75" customHeight="1" outlineLevel="1">
      <c r="A10" s="152" t="s">
        <v>3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330733.83</v>
      </c>
      <c r="K10" s="109"/>
      <c r="L10" s="159"/>
      <c r="M10" s="109"/>
      <c r="N10" s="109"/>
      <c r="O10" s="70" t="s">
        <v>81</v>
      </c>
    </row>
    <row r="11" spans="1:18" outlineLevel="1">
      <c r="A11" s="152" t="s">
        <v>4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1147833.8400000001</v>
      </c>
      <c r="K11" s="109"/>
      <c r="L11" s="159"/>
      <c r="M11" s="109"/>
      <c r="N11" s="109"/>
      <c r="O11" s="70" t="s">
        <v>82</v>
      </c>
    </row>
    <row r="12" spans="1:18" ht="18.75" customHeight="1" outlineLevel="1">
      <c r="A12" s="152" t="s">
        <v>5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1000185.36</v>
      </c>
      <c r="K12" s="109"/>
      <c r="L12" s="159"/>
      <c r="M12" s="109"/>
      <c r="N12" s="109"/>
      <c r="O12" s="70" t="s">
        <v>83</v>
      </c>
    </row>
    <row r="13" spans="1:18" ht="18.75" customHeight="1" outlineLevel="1">
      <c r="A13" s="152" t="s">
        <v>6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147648.48000000001</v>
      </c>
      <c r="K13" s="109"/>
      <c r="L13" s="159"/>
      <c r="M13" s="109"/>
      <c r="N13" s="109"/>
      <c r="O13" s="70" t="s">
        <v>84</v>
      </c>
    </row>
    <row r="14" spans="1:18" ht="18.75" customHeight="1" outlineLevel="1">
      <c r="A14" s="152" t="s">
        <v>7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0</v>
      </c>
      <c r="K14" s="109"/>
      <c r="L14" s="159"/>
      <c r="M14" s="109"/>
      <c r="N14" s="109"/>
      <c r="O14" s="70" t="s">
        <v>85</v>
      </c>
    </row>
    <row r="15" spans="1:18" ht="18.75" customHeight="1" outlineLevel="1">
      <c r="A15" s="152" t="s">
        <v>8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1159385.08</v>
      </c>
      <c r="K15" s="109"/>
      <c r="L15" s="159"/>
      <c r="M15" s="109"/>
      <c r="N15" s="109"/>
      <c r="O15" s="70" t="s">
        <v>86</v>
      </c>
    </row>
    <row r="16" spans="1:18" ht="18.75" customHeight="1" outlineLevel="1">
      <c r="A16" s="152" t="s">
        <v>9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1159385.08</v>
      </c>
      <c r="K16" s="109"/>
      <c r="L16" s="159"/>
      <c r="M16" s="109"/>
      <c r="N16" s="109"/>
      <c r="O16" s="70" t="s">
        <v>87</v>
      </c>
    </row>
    <row r="17" spans="1:23" ht="18.75" customHeight="1" outlineLevel="1">
      <c r="A17" s="152" t="s">
        <v>10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09"/>
      <c r="L17" s="159"/>
      <c r="M17" s="109"/>
      <c r="N17" s="109"/>
      <c r="O17" s="70" t="s">
        <v>88</v>
      </c>
    </row>
    <row r="18" spans="1:23" ht="18.75" customHeight="1" outlineLevel="1">
      <c r="A18" s="152" t="s">
        <v>11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09"/>
      <c r="L18" s="159"/>
      <c r="M18" s="109"/>
      <c r="N18" s="109"/>
      <c r="O18" s="70" t="s">
        <v>89</v>
      </c>
    </row>
    <row r="19" spans="1:23" ht="18.75" customHeight="1" outlineLevel="1">
      <c r="A19" s="152" t="s">
        <v>12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09"/>
      <c r="L19" s="159"/>
      <c r="M19" s="109"/>
      <c r="N19" s="109"/>
      <c r="O19" s="70" t="s">
        <v>90</v>
      </c>
    </row>
    <row r="20" spans="1:23" ht="18.75" customHeight="1" outlineLevel="1">
      <c r="A20" s="152" t="s">
        <v>13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09"/>
      <c r="L20" s="159"/>
      <c r="M20" s="109"/>
      <c r="N20" s="109"/>
      <c r="O20" s="70" t="s">
        <v>91</v>
      </c>
    </row>
    <row r="21" spans="1:23" ht="18.75" customHeight="1" outlineLevel="1">
      <c r="A21" s="152" t="s">
        <v>14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1159385.08</v>
      </c>
      <c r="K21" s="109"/>
      <c r="L21" s="159"/>
      <c r="M21" s="109"/>
      <c r="N21" s="109"/>
      <c r="O21" s="70" t="s">
        <v>92</v>
      </c>
    </row>
    <row r="22" spans="1:23" ht="18.75" customHeight="1" outlineLevel="1">
      <c r="A22" s="152" t="s">
        <v>15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09"/>
      <c r="L22" s="159"/>
      <c r="M22" s="109"/>
      <c r="N22" s="109"/>
      <c r="O22" s="70" t="s">
        <v>93</v>
      </c>
    </row>
    <row r="23" spans="1:23" ht="18.75" customHeight="1" outlineLevel="1">
      <c r="A23" s="152" t="s">
        <v>16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09"/>
      <c r="L23" s="159"/>
      <c r="M23" s="109"/>
      <c r="N23" s="109"/>
      <c r="O23" s="70" t="s">
        <v>94</v>
      </c>
    </row>
    <row r="24" spans="1:23" ht="18.75" customHeight="1" outlineLevel="1">
      <c r="A24" s="152" t="s">
        <v>17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319182.59000000008</v>
      </c>
      <c r="K24" s="109"/>
      <c r="L24" s="159"/>
      <c r="M24" s="109"/>
      <c r="N24" s="109"/>
      <c r="O24" s="70" t="s">
        <v>95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1" t="s">
        <v>18</v>
      </c>
      <c r="B27" s="151"/>
      <c r="C27" s="151"/>
      <c r="D27" s="151"/>
      <c r="E27" s="151"/>
      <c r="F27" s="151" t="s">
        <v>19</v>
      </c>
      <c r="G27" s="151"/>
      <c r="H27" s="5" t="s">
        <v>56</v>
      </c>
      <c r="I27" s="151" t="s">
        <v>20</v>
      </c>
      <c r="J27" s="151"/>
      <c r="K27" s="109"/>
      <c r="L27" s="16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167179.20000000001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09"/>
      <c r="L28" s="16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3" t="str">
        <f>ПТО!A40</f>
        <v>Работы по содержанию лифта (лифтов)</v>
      </c>
      <c r="B29" s="143"/>
      <c r="C29" s="143"/>
      <c r="D29" s="143"/>
      <c r="E29" s="143"/>
      <c r="F29" s="148">
        <f>VLOOKUP(A29,ПТО!$A$39:$D$53,2,FALSE)</f>
        <v>118882.92</v>
      </c>
      <c r="G29" s="148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09"/>
      <c r="L29" s="160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95354.04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09"/>
      <c r="L30" s="16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48708.959999999999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09"/>
      <c r="L31" s="16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09"/>
      <c r="L32" s="160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16924.32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09"/>
      <c r="L33" s="16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155621.04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09"/>
      <c r="L34" s="16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3" t="str">
        <f>ПТО!A46</f>
        <v>Работы (услуги) по управлению многоквартирным домом</v>
      </c>
      <c r="B35" s="143"/>
      <c r="C35" s="143"/>
      <c r="D35" s="143"/>
      <c r="E35" s="143"/>
      <c r="F35" s="148">
        <f>VLOOKUP(A35,ПТО!$A$39:$D$53,2,FALSE)</f>
        <v>206394</v>
      </c>
      <c r="G35" s="148"/>
      <c r="H35" s="42" t="str">
        <f>VLOOKUP(A35,ПТО!$A$39:$D$53,3,FALSE)</f>
        <v>Ежемесячно</v>
      </c>
      <c r="I35" s="144">
        <f>VLOOKUP(A35,ПТО!$A$39:$D$53,4,FALSE)</f>
        <v>12</v>
      </c>
      <c r="J35" s="144"/>
      <c r="K35" s="109"/>
      <c r="L35" s="160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70</v>
      </c>
    </row>
    <row r="36" spans="1:18" ht="51" customHeight="1" outlineLevel="1">
      <c r="A36" s="143" t="str">
        <f>ПТО!A47</f>
        <v>Работы по обеспечению вывоза твердых бытовых отходов</v>
      </c>
      <c r="B36" s="143"/>
      <c r="C36" s="143"/>
      <c r="D36" s="143"/>
      <c r="E36" s="143"/>
      <c r="F36" s="148">
        <f>VLOOKUP(A36,ПТО!$A$39:$D$53,2,FALSE)</f>
        <v>191120.88</v>
      </c>
      <c r="G36" s="148"/>
      <c r="H36" s="42" t="str">
        <f>VLOOKUP(A36,ПТО!$A$39:$D$53,3,FALSE)</f>
        <v>В соответствии с графиком</v>
      </c>
      <c r="I36" s="144">
        <f>VLOOKUP(A36,ПТО!$A$39:$D$53,4,FALSE)</f>
        <v>12</v>
      </c>
      <c r="J36" s="144"/>
      <c r="K36" s="109"/>
      <c r="L36" s="160"/>
      <c r="M36" s="115"/>
      <c r="N36" s="109"/>
      <c r="O36" s="23" t="str">
        <f t="shared" si="1"/>
        <v>Работы по обеспечению вывоза твердых бытовых отходов</v>
      </c>
      <c r="R36" s="1" t="s">
        <v>70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09"/>
      <c r="L37" s="160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09"/>
      <c r="L38" s="160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09"/>
      <c r="L39" s="160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09"/>
      <c r="L40" s="160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09"/>
      <c r="L41" s="160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09"/>
      <c r="L42" s="160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43" t="str">
        <f>ПТО!A2</f>
        <v>Техническое освидетельствование лифтов.</v>
      </c>
      <c r="B43" s="143"/>
      <c r="C43" s="143"/>
      <c r="D43" s="143"/>
      <c r="E43" s="143"/>
      <c r="F43" s="148">
        <f>VLOOKUP(A43,ПТО!$A$2:$D$31,4,FALSE)</f>
        <v>16200</v>
      </c>
      <c r="G43" s="148"/>
      <c r="H43" s="19" t="str">
        <f>VLOOKUP(A43,ПТО!$A$2:$D$31,2,FALSE)</f>
        <v>ежегодно</v>
      </c>
      <c r="I43" s="144">
        <f>VLOOKUP(A43,ПТО!$A$2:$D$31,3,FALSE)</f>
        <v>2</v>
      </c>
      <c r="J43" s="144"/>
      <c r="K43" s="109"/>
      <c r="L43" s="160"/>
      <c r="M43" s="115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43" t="str">
        <f>ПТО!A3</f>
        <v>Техническое обслуживание охранной сигнализации.</v>
      </c>
      <c r="B44" s="143"/>
      <c r="C44" s="143"/>
      <c r="D44" s="143"/>
      <c r="E44" s="143"/>
      <c r="F44" s="148">
        <f>VLOOKUP(A44,ПТО!$A$2:$D$31,4,FALSE)</f>
        <v>18000</v>
      </c>
      <c r="G44" s="148"/>
      <c r="H44" s="25" t="str">
        <f>VLOOKUP(A44,ПТО!$A$2:$D$31,2,FALSE)</f>
        <v>ежемесячно</v>
      </c>
      <c r="I44" s="144">
        <f>VLOOKUP(A44,ПТО!$A$2:$D$31,3,FALSE)</f>
        <v>12</v>
      </c>
      <c r="J44" s="144"/>
      <c r="K44" s="109"/>
      <c r="L44" s="160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43" t="str">
        <f>ПТО!A4</f>
        <v>Вывоз снега с придомовой территории.</v>
      </c>
      <c r="B45" s="143"/>
      <c r="C45" s="143"/>
      <c r="D45" s="143"/>
      <c r="E45" s="143"/>
      <c r="F45" s="148">
        <f>VLOOKUP(A45,ПТО!$A$2:$D$31,4,FALSE)</f>
        <v>11400</v>
      </c>
      <c r="G45" s="148"/>
      <c r="H45" s="25" t="str">
        <f>VLOOKUP(A45,ПТО!$A$2:$D$31,2,FALSE)</f>
        <v>разово</v>
      </c>
      <c r="I45" s="144">
        <f>VLOOKUP(A45,ПТО!$A$2:$D$31,3,FALSE)</f>
        <v>5</v>
      </c>
      <c r="J45" s="144"/>
      <c r="K45" s="109"/>
      <c r="L45" s="160"/>
      <c r="M45" s="115"/>
      <c r="N45" s="109"/>
      <c r="O45" s="23" t="str">
        <f t="shared" si="1"/>
        <v>Вывоз снега с придомовой территории.</v>
      </c>
      <c r="R45" s="22" t="s">
        <v>71</v>
      </c>
    </row>
    <row r="46" spans="1:18" ht="51" customHeight="1" outlineLevel="1">
      <c r="A46" s="143" t="str">
        <f>ПТО!A5</f>
        <v>Монтаж системы видеонаблюдения.</v>
      </c>
      <c r="B46" s="143"/>
      <c r="C46" s="143"/>
      <c r="D46" s="143"/>
      <c r="E46" s="143"/>
      <c r="F46" s="148">
        <f>VLOOKUP(A46,ПТО!$A$2:$D$31,4,FALSE)</f>
        <v>29876</v>
      </c>
      <c r="G46" s="148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09"/>
      <c r="L46" s="160"/>
      <c r="M46" s="115"/>
      <c r="N46" s="109"/>
      <c r="O46" s="23" t="str">
        <f t="shared" si="1"/>
        <v>Монтаж системы видеонаблюдения.</v>
      </c>
      <c r="R46" s="22" t="s">
        <v>71</v>
      </c>
    </row>
    <row r="47" spans="1:18" ht="51" customHeight="1" outlineLevel="1">
      <c r="A47" s="143" t="str">
        <f>ПТО!A6</f>
        <v>Приобретение и установка информационного стенда.</v>
      </c>
      <c r="B47" s="143"/>
      <c r="C47" s="143"/>
      <c r="D47" s="143"/>
      <c r="E47" s="143"/>
      <c r="F47" s="148">
        <f>VLOOKUP(A47,ПТО!$A$2:$D$31,4,FALSE)</f>
        <v>5670</v>
      </c>
      <c r="G47" s="148"/>
      <c r="H47" s="25">
        <f>VLOOKUP(A47,ПТО!$A$2:$D$31,2,FALSE)</f>
        <v>0</v>
      </c>
      <c r="I47" s="144">
        <f>VLOOKUP(A47,ПТО!$A$2:$D$31,3,FALSE)</f>
        <v>1</v>
      </c>
      <c r="J47" s="144"/>
      <c r="K47" s="109"/>
      <c r="L47" s="160"/>
      <c r="M47" s="115"/>
      <c r="N47" s="109"/>
      <c r="O47" s="23" t="str">
        <f t="shared" si="1"/>
        <v>Приобретение и установка информационного стенда.</v>
      </c>
      <c r="R47" s="22" t="s">
        <v>71</v>
      </c>
    </row>
    <row r="48" spans="1:18" ht="51" customHeight="1" outlineLevel="1">
      <c r="A48" s="143" t="str">
        <f>ПТО!A7</f>
        <v>Монтаж ограждения лестничного марша.</v>
      </c>
      <c r="B48" s="143"/>
      <c r="C48" s="143"/>
      <c r="D48" s="143"/>
      <c r="E48" s="143"/>
      <c r="F48" s="148">
        <f>VLOOKUP(A48,ПТО!$A$2:$D$31,4,FALSE)</f>
        <v>17840</v>
      </c>
      <c r="G48" s="148"/>
      <c r="H48" s="25" t="str">
        <f>VLOOKUP(A48,ПТО!$A$2:$D$31,2,FALSE)</f>
        <v>разово</v>
      </c>
      <c r="I48" s="144">
        <f>VLOOKUP(A48,ПТО!$A$2:$D$31,3,FALSE)</f>
        <v>1</v>
      </c>
      <c r="J48" s="144"/>
      <c r="K48" s="109"/>
      <c r="L48" s="160"/>
      <c r="M48" s="115"/>
      <c r="N48" s="109"/>
      <c r="O48" s="23" t="str">
        <f t="shared" si="1"/>
        <v>Монтаж ограждения лестничного марша.</v>
      </c>
      <c r="R48" s="22" t="s">
        <v>71</v>
      </c>
    </row>
    <row r="49" spans="1:18" ht="51" customHeight="1" outlineLevel="1">
      <c r="A49" s="143" t="str">
        <f>ПТО!A8</f>
        <v>Монтаж окна на 13 этаже.</v>
      </c>
      <c r="B49" s="143"/>
      <c r="C49" s="143"/>
      <c r="D49" s="143"/>
      <c r="E49" s="143"/>
      <c r="F49" s="148">
        <f>VLOOKUP(A49,ПТО!$A$2:$D$31,4,FALSE)</f>
        <v>11539.05</v>
      </c>
      <c r="G49" s="148"/>
      <c r="H49" s="25" t="str">
        <f>VLOOKUP(A49,ПТО!$A$2:$D$31,2,FALSE)</f>
        <v>разово</v>
      </c>
      <c r="I49" s="144">
        <f>VLOOKUP(A49,ПТО!$A$2:$D$31,3,FALSE)</f>
        <v>1</v>
      </c>
      <c r="J49" s="144"/>
      <c r="K49" s="109"/>
      <c r="L49" s="160"/>
      <c r="M49" s="115"/>
      <c r="N49" s="109"/>
      <c r="O49" s="23" t="str">
        <f t="shared" si="1"/>
        <v>Монтаж окна на 13 этаже.</v>
      </c>
      <c r="R49" s="22" t="s">
        <v>71</v>
      </c>
    </row>
    <row r="50" spans="1:18" ht="51" customHeight="1" outlineLevel="1">
      <c r="A50" s="143" t="str">
        <f>ПТО!A9</f>
        <v>Приобретение и установка парковочных столбиков возле подъезда.</v>
      </c>
      <c r="B50" s="143"/>
      <c r="C50" s="143"/>
      <c r="D50" s="143"/>
      <c r="E50" s="143"/>
      <c r="F50" s="148">
        <f>VLOOKUP(A50,ПТО!$A$2:$D$31,4,FALSE)</f>
        <v>4915.24</v>
      </c>
      <c r="G50" s="148"/>
      <c r="H50" s="25" t="str">
        <f>VLOOKUP(A50,ПТО!$A$2:$D$31,2,FALSE)</f>
        <v>разово</v>
      </c>
      <c r="I50" s="144">
        <f>VLOOKUP(A50,ПТО!$A$2:$D$31,3,FALSE)</f>
        <v>4</v>
      </c>
      <c r="J50" s="144"/>
      <c r="K50" s="109"/>
      <c r="L50" s="160"/>
      <c r="M50" s="115"/>
      <c r="N50" s="109"/>
      <c r="O50" s="23" t="str">
        <f t="shared" si="1"/>
        <v>Приобретение и установка парковочных столбиков возле подъезда.</v>
      </c>
      <c r="R50" s="22" t="s">
        <v>71</v>
      </c>
    </row>
    <row r="51" spans="1:18" ht="51" customHeight="1" outlineLevel="1">
      <c r="A51" s="143" t="str">
        <f>ПТО!A10</f>
        <v>Приобретение и установка парковочных столбиков проход на лестницу.</v>
      </c>
      <c r="B51" s="143"/>
      <c r="C51" s="143"/>
      <c r="D51" s="143"/>
      <c r="E51" s="143"/>
      <c r="F51" s="148">
        <f>VLOOKUP(A51,ПТО!$A$2:$D$31,4,FALSE)</f>
        <v>819.2</v>
      </c>
      <c r="G51" s="148"/>
      <c r="H51" s="25" t="str">
        <f>VLOOKUP(A51,ПТО!$A$2:$D$31,2,FALSE)</f>
        <v>разово</v>
      </c>
      <c r="I51" s="144">
        <f>VLOOKUP(A51,ПТО!$A$2:$D$31,3,FALSE)</f>
        <v>1</v>
      </c>
      <c r="J51" s="144"/>
      <c r="K51" s="109"/>
      <c r="L51" s="160"/>
      <c r="M51" s="115"/>
      <c r="N51" s="109"/>
      <c r="O51" s="23" t="str">
        <f t="shared" si="1"/>
        <v>Приобретение и установка парковочных столбиков проход на лестницу.</v>
      </c>
      <c r="R51" s="22" t="s">
        <v>71</v>
      </c>
    </row>
    <row r="52" spans="1:18" ht="51" customHeight="1" outlineLevel="1">
      <c r="A52" s="143" t="str">
        <f>ПТО!A11</f>
        <v>Изготовление и монтаж табличек "Выгул собак запрещен".</v>
      </c>
      <c r="B52" s="143"/>
      <c r="C52" s="143"/>
      <c r="D52" s="143"/>
      <c r="E52" s="143"/>
      <c r="F52" s="148">
        <f>VLOOKUP(A52,ПТО!$A$2:$D$31,4,FALSE)</f>
        <v>1125</v>
      </c>
      <c r="G52" s="148"/>
      <c r="H52" s="25" t="str">
        <f>VLOOKUP(A52,ПТО!$A$2:$D$31,2,FALSE)</f>
        <v>разово</v>
      </c>
      <c r="I52" s="144">
        <f>VLOOKUP(A52,ПТО!$A$2:$D$31,3,FALSE)</f>
        <v>4</v>
      </c>
      <c r="J52" s="144"/>
      <c r="K52" s="109"/>
      <c r="L52" s="160"/>
      <c r="M52" s="115"/>
      <c r="N52" s="109"/>
      <c r="O52" s="23" t="str">
        <f t="shared" si="1"/>
        <v>Изготовление и монтаж табличек "Выгул собак запрещен".</v>
      </c>
      <c r="R52" s="22" t="s">
        <v>71</v>
      </c>
    </row>
    <row r="53" spans="1:18" ht="51" customHeight="1" outlineLevel="1">
      <c r="A53" s="143" t="str">
        <f>ПТО!A12</f>
        <v>Ремонт светильников и установка светодиодных ламп в подъезде.</v>
      </c>
      <c r="B53" s="143"/>
      <c r="C53" s="143"/>
      <c r="D53" s="143"/>
      <c r="E53" s="143"/>
      <c r="F53" s="148">
        <f>VLOOKUP(A53,ПТО!$A$2:$D$31,4,FALSE)</f>
        <v>2802</v>
      </c>
      <c r="G53" s="148"/>
      <c r="H53" s="25" t="str">
        <f>VLOOKUP(A53,ПТО!$A$2:$D$31,2,FALSE)</f>
        <v>разово</v>
      </c>
      <c r="I53" s="144">
        <f>VLOOKUP(A53,ПТО!$A$2:$D$31,3,FALSE)</f>
        <v>9</v>
      </c>
      <c r="J53" s="144"/>
      <c r="K53" s="109"/>
      <c r="L53" s="160"/>
      <c r="M53" s="115"/>
      <c r="N53" s="109"/>
      <c r="O53" s="23" t="str">
        <f t="shared" si="1"/>
        <v>Ремонт светильников и установка светодиодных ламп в подъезде.</v>
      </c>
      <c r="R53" s="22" t="s">
        <v>71</v>
      </c>
    </row>
    <row r="54" spans="1:18" ht="51" customHeight="1" outlineLevel="1">
      <c r="A54" s="143" t="str">
        <f>ПТО!A13</f>
        <v>Благоустройство территрии (посадка цветов).</v>
      </c>
      <c r="B54" s="143"/>
      <c r="C54" s="143"/>
      <c r="D54" s="143"/>
      <c r="E54" s="143"/>
      <c r="F54" s="148">
        <f>VLOOKUP(A54,ПТО!$A$2:$D$31,4,FALSE)</f>
        <v>500</v>
      </c>
      <c r="G54" s="148"/>
      <c r="H54" s="25" t="str">
        <f>VLOOKUP(A54,ПТО!$A$2:$D$31,2,FALSE)</f>
        <v>разово</v>
      </c>
      <c r="I54" s="144">
        <f>VLOOKUP(A54,ПТО!$A$2:$D$31,3,FALSE)</f>
        <v>1</v>
      </c>
      <c r="J54" s="144"/>
      <c r="K54" s="109"/>
      <c r="L54" s="160"/>
      <c r="M54" s="115"/>
      <c r="N54" s="109"/>
      <c r="O54" s="23" t="str">
        <f t="shared" si="1"/>
        <v>Благоустройство территрии (посадка цветов).</v>
      </c>
      <c r="R54" s="22" t="s">
        <v>71</v>
      </c>
    </row>
    <row r="55" spans="1:18" ht="51" customHeight="1" outlineLevel="1">
      <c r="A55" s="143" t="str">
        <f>ПТО!A14</f>
        <v>Изготовление и монтаж вх. двери.</v>
      </c>
      <c r="B55" s="143"/>
      <c r="C55" s="143"/>
      <c r="D55" s="143"/>
      <c r="E55" s="143"/>
      <c r="F55" s="148">
        <f>VLOOKUP(A55,ПТО!$A$2:$D$31,4,FALSE)</f>
        <v>24000</v>
      </c>
      <c r="G55" s="148"/>
      <c r="H55" s="25" t="str">
        <f>VLOOKUP(A55,ПТО!$A$2:$D$31,2,FALSE)</f>
        <v>разово</v>
      </c>
      <c r="I55" s="144">
        <f>VLOOKUP(A55,ПТО!$A$2:$D$31,3,FALSE)</f>
        <v>1</v>
      </c>
      <c r="J55" s="144"/>
      <c r="K55" s="109"/>
      <c r="L55" s="160"/>
      <c r="M55" s="115"/>
      <c r="N55" s="109"/>
      <c r="O55" s="23" t="str">
        <f t="shared" si="1"/>
        <v>Изготовление и монтаж вх. двери.</v>
      </c>
      <c r="R55" s="22" t="s">
        <v>71</v>
      </c>
    </row>
    <row r="56" spans="1:18" ht="51" customHeight="1" outlineLevel="1">
      <c r="A56" s="143" t="str">
        <f>ПТО!A15</f>
        <v>Изготовление и установка ограждения газона.</v>
      </c>
      <c r="B56" s="143"/>
      <c r="C56" s="143"/>
      <c r="D56" s="143"/>
      <c r="E56" s="143"/>
      <c r="F56" s="148">
        <f>VLOOKUP(A56,ПТО!$A$2:$D$31,4,FALSE)</f>
        <v>16605</v>
      </c>
      <c r="G56" s="148"/>
      <c r="H56" s="25" t="str">
        <f>VLOOKUP(A56,ПТО!$A$2:$D$31,2,FALSE)</f>
        <v>разово</v>
      </c>
      <c r="I56" s="144">
        <f>VLOOKUP(A56,ПТО!$A$2:$D$31,3,FALSE)</f>
        <v>19</v>
      </c>
      <c r="J56" s="144"/>
      <c r="K56" s="109"/>
      <c r="L56" s="160"/>
      <c r="M56" s="115"/>
      <c r="N56" s="109"/>
      <c r="O56" s="23" t="str">
        <f t="shared" si="1"/>
        <v>Изготовление и установка ограждения газона.</v>
      </c>
      <c r="R56" s="22" t="s">
        <v>71</v>
      </c>
    </row>
    <row r="57" spans="1:18" ht="51" customHeight="1" outlineLevel="1">
      <c r="A57" s="143" t="str">
        <f>ПТО!A16</f>
        <v>Генеральная уборка подъезда.</v>
      </c>
      <c r="B57" s="143"/>
      <c r="C57" s="143"/>
      <c r="D57" s="143"/>
      <c r="E57" s="143"/>
      <c r="F57" s="148">
        <f>VLOOKUP(A57,ПТО!$A$2:$D$31,4,FALSE)</f>
        <v>3471</v>
      </c>
      <c r="G57" s="148"/>
      <c r="H57" s="25" t="str">
        <f>VLOOKUP(A57,ПТО!$A$2:$D$31,2,FALSE)</f>
        <v>разово</v>
      </c>
      <c r="I57" s="144">
        <f>VLOOKUP(A57,ПТО!$A$2:$D$31,3,FALSE)</f>
        <v>1</v>
      </c>
      <c r="J57" s="144"/>
      <c r="K57" s="109"/>
      <c r="L57" s="160"/>
      <c r="M57" s="115"/>
      <c r="N57" s="109"/>
      <c r="O57" s="23" t="str">
        <f t="shared" si="1"/>
        <v>Генеральная уборка подъезда.</v>
      </c>
      <c r="R57" s="22" t="s">
        <v>71</v>
      </c>
    </row>
    <row r="58" spans="1:18" ht="51" customHeight="1" outlineLevel="1">
      <c r="A58" s="143" t="str">
        <f>ПТО!A17</f>
        <v>Установка и приобретение дорожных знаков.</v>
      </c>
      <c r="B58" s="143"/>
      <c r="C58" s="143"/>
      <c r="D58" s="143"/>
      <c r="E58" s="143"/>
      <c r="F58" s="148">
        <f>VLOOKUP(A58,ПТО!$A$2:$D$31,4,FALSE)</f>
        <v>1080</v>
      </c>
      <c r="G58" s="148"/>
      <c r="H58" s="25" t="str">
        <f>VLOOKUP(A58,ПТО!$A$2:$D$31,2,FALSE)</f>
        <v>разово</v>
      </c>
      <c r="I58" s="144">
        <f>VLOOKUP(A58,ПТО!$A$2:$D$31,3,FALSE)</f>
        <v>2</v>
      </c>
      <c r="J58" s="144"/>
      <c r="K58" s="109"/>
      <c r="L58" s="160"/>
      <c r="M58" s="115"/>
      <c r="N58" s="109"/>
      <c r="O58" s="23" t="str">
        <f t="shared" si="1"/>
        <v>Установка и приобретение дорожных знаков.</v>
      </c>
      <c r="R58" s="22" t="s">
        <v>71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09"/>
      <c r="L59" s="160"/>
      <c r="M59" s="115"/>
      <c r="N59" s="109"/>
      <c r="O59" s="23">
        <f t="shared" si="1"/>
        <v>0</v>
      </c>
      <c r="R59" s="22" t="s">
        <v>71</v>
      </c>
    </row>
    <row r="60" spans="1:18" ht="51" customHeight="1" outlineLevel="1">
      <c r="A60" s="143" t="str">
        <f>ПТО!A19</f>
        <v>Установка гирлянд над подъездом.</v>
      </c>
      <c r="B60" s="143"/>
      <c r="C60" s="143"/>
      <c r="D60" s="143"/>
      <c r="E60" s="143"/>
      <c r="F60" s="148">
        <f>VLOOKUP(A60,ПТО!$A$2:$D$31,4,FALSE)</f>
        <v>1061</v>
      </c>
      <c r="G60" s="148"/>
      <c r="H60" s="25" t="str">
        <f>VLOOKUP(A60,ПТО!$A$2:$D$31,2,FALSE)</f>
        <v>разово</v>
      </c>
      <c r="I60" s="144">
        <f>VLOOKUP(A60,ПТО!$A$2:$D$31,3,FALSE)</f>
        <v>1</v>
      </c>
      <c r="J60" s="144"/>
      <c r="K60" s="109"/>
      <c r="L60" s="160"/>
      <c r="M60" s="115"/>
      <c r="N60" s="109"/>
      <c r="O60" s="23" t="str">
        <f t="shared" si="1"/>
        <v>Установка гирлянд над подъездом.</v>
      </c>
      <c r="R60" s="22" t="s">
        <v>71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09"/>
      <c r="L61" s="160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09"/>
      <c r="L62" s="160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09"/>
      <c r="L63" s="160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09"/>
      <c r="L64" s="160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09"/>
      <c r="L65" s="160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09"/>
      <c r="L66" s="160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09"/>
      <c r="L67" s="160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09"/>
      <c r="L68" s="160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09"/>
      <c r="L69" s="160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09"/>
      <c r="L70" s="160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5"/>
      <c r="L71" s="160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09"/>
      <c r="L72" s="160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171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1" t="s">
        <v>26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09"/>
      <c r="L75" s="163"/>
      <c r="M75" s="109"/>
      <c r="N75" s="109"/>
      <c r="O75" s="70" t="s">
        <v>96</v>
      </c>
    </row>
    <row r="76" spans="1:16384" ht="18.75" customHeight="1" outlineLevel="1">
      <c r="A76" s="161" t="s">
        <v>27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09"/>
      <c r="L76" s="163"/>
      <c r="M76" s="109"/>
      <c r="N76" s="109"/>
      <c r="O76" s="70" t="s">
        <v>97</v>
      </c>
    </row>
    <row r="77" spans="1:16384" ht="21.75" customHeight="1" outlineLevel="1">
      <c r="A77" s="161" t="s">
        <v>28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09"/>
      <c r="L77" s="163"/>
      <c r="M77" s="109"/>
      <c r="N77" s="109"/>
      <c r="O77" s="70" t="s">
        <v>98</v>
      </c>
    </row>
    <row r="78" spans="1:16384" ht="18.75" customHeight="1" outlineLevel="1">
      <c r="A78" s="161" t="s">
        <v>29</v>
      </c>
      <c r="B78" s="161"/>
      <c r="C78" s="161"/>
      <c r="D78" s="161"/>
      <c r="E78" s="161"/>
      <c r="F78" s="161"/>
      <c r="G78" s="161"/>
      <c r="H78" s="161"/>
      <c r="I78" s="161"/>
      <c r="J78" s="97">
        <f>VLOOKUP(O78,АО,3,FALSE)</f>
        <v>0</v>
      </c>
      <c r="K78" s="109"/>
      <c r="L78" s="163"/>
      <c r="M78" s="109"/>
      <c r="N78" s="109"/>
      <c r="O78" s="70" t="s">
        <v>99</v>
      </c>
    </row>
    <row r="79" spans="1:16384">
      <c r="A79" s="114" t="s">
        <v>171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41" t="s">
        <v>1</v>
      </c>
      <c r="B81" s="141"/>
      <c r="C81" s="141"/>
      <c r="D81" s="141"/>
      <c r="E81" s="141"/>
      <c r="F81" s="141"/>
      <c r="G81" s="141"/>
      <c r="H81" s="141"/>
      <c r="I81" s="141"/>
      <c r="J81" s="97">
        <f t="shared" ref="J81:J90" si="2">VLOOKUP(O81,АО,3,FALSE)</f>
        <v>0</v>
      </c>
      <c r="K81" s="109"/>
      <c r="L81" s="149"/>
      <c r="M81" s="109"/>
      <c r="N81" s="109"/>
      <c r="O81" s="70" t="s">
        <v>100</v>
      </c>
    </row>
    <row r="82" spans="1:15" outlineLevel="1">
      <c r="A82" s="141" t="s">
        <v>2</v>
      </c>
      <c r="B82" s="141"/>
      <c r="C82" s="141"/>
      <c r="D82" s="141"/>
      <c r="E82" s="141"/>
      <c r="F82" s="141"/>
      <c r="G82" s="141"/>
      <c r="H82" s="141"/>
      <c r="I82" s="141"/>
      <c r="J82" s="97">
        <f t="shared" si="2"/>
        <v>0</v>
      </c>
      <c r="K82" s="109"/>
      <c r="L82" s="149"/>
      <c r="M82" s="109"/>
      <c r="N82" s="109"/>
      <c r="O82" s="70" t="s">
        <v>101</v>
      </c>
    </row>
    <row r="83" spans="1:15" outlineLevel="1">
      <c r="A83" s="155" t="s">
        <v>3</v>
      </c>
      <c r="B83" s="156"/>
      <c r="C83" s="156"/>
      <c r="D83" s="156"/>
      <c r="E83" s="156"/>
      <c r="F83" s="156"/>
      <c r="G83" s="156"/>
      <c r="H83" s="156"/>
      <c r="I83" s="157"/>
      <c r="J83" s="97" t="str">
        <f t="shared" si="2"/>
        <v>353866.88</v>
      </c>
      <c r="K83" s="109"/>
      <c r="L83" s="149"/>
      <c r="M83" s="109"/>
      <c r="N83" s="109"/>
      <c r="O83" s="70" t="s">
        <v>102</v>
      </c>
    </row>
    <row r="84" spans="1:15" outlineLevel="1">
      <c r="A84" s="155" t="s">
        <v>15</v>
      </c>
      <c r="B84" s="156"/>
      <c r="C84" s="156"/>
      <c r="D84" s="156"/>
      <c r="E84" s="156"/>
      <c r="F84" s="156"/>
      <c r="G84" s="156"/>
      <c r="H84" s="156"/>
      <c r="I84" s="157"/>
      <c r="J84" s="97">
        <f t="shared" si="2"/>
        <v>0</v>
      </c>
      <c r="K84" s="109"/>
      <c r="L84" s="149"/>
      <c r="M84" s="109"/>
      <c r="N84" s="109"/>
      <c r="O84" s="70" t="s">
        <v>103</v>
      </c>
    </row>
    <row r="85" spans="1:15" outlineLevel="1">
      <c r="A85" s="155" t="s">
        <v>16</v>
      </c>
      <c r="B85" s="156"/>
      <c r="C85" s="156"/>
      <c r="D85" s="156"/>
      <c r="E85" s="156"/>
      <c r="F85" s="156"/>
      <c r="G85" s="156"/>
      <c r="H85" s="156"/>
      <c r="I85" s="157"/>
      <c r="J85" s="97">
        <f t="shared" si="2"/>
        <v>0</v>
      </c>
      <c r="K85" s="109"/>
      <c r="L85" s="149"/>
      <c r="M85" s="109"/>
      <c r="N85" s="109"/>
      <c r="O85" s="70" t="s">
        <v>104</v>
      </c>
    </row>
    <row r="86" spans="1:15" outlineLevel="1">
      <c r="A86" s="155" t="s">
        <v>17</v>
      </c>
      <c r="B86" s="156"/>
      <c r="C86" s="156"/>
      <c r="D86" s="156"/>
      <c r="E86" s="156"/>
      <c r="F86" s="156"/>
      <c r="G86" s="156"/>
      <c r="H86" s="156"/>
      <c r="I86" s="157"/>
      <c r="J86" s="97">
        <f t="shared" si="2"/>
        <v>330993.15000000002</v>
      </c>
      <c r="K86" s="109"/>
      <c r="L86" s="149"/>
      <c r="M86" s="109"/>
      <c r="N86" s="109"/>
      <c r="O86" s="70" t="s">
        <v>105</v>
      </c>
    </row>
    <row r="87" spans="1:15" ht="18.75" customHeight="1" outlineLevel="1">
      <c r="A87" s="155" t="s">
        <v>26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09"/>
      <c r="L87" s="149"/>
      <c r="M87" s="109"/>
      <c r="N87" s="109"/>
      <c r="O87" s="70" t="s">
        <v>106</v>
      </c>
    </row>
    <row r="88" spans="1:15" ht="18.75" customHeight="1" outlineLevel="1">
      <c r="A88" s="155" t="s">
        <v>27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09"/>
      <c r="L88" s="149"/>
      <c r="M88" s="109"/>
      <c r="N88" s="109"/>
      <c r="O88" s="70" t="s">
        <v>107</v>
      </c>
    </row>
    <row r="89" spans="1:15" ht="18.75" customHeight="1" outlineLevel="1">
      <c r="A89" s="155" t="s">
        <v>28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09"/>
      <c r="L89" s="149"/>
      <c r="M89" s="109"/>
      <c r="N89" s="109"/>
      <c r="O89" s="70" t="s">
        <v>108</v>
      </c>
    </row>
    <row r="90" spans="1:15" ht="18.75" customHeight="1" outlineLevel="1">
      <c r="A90" s="155" t="s">
        <v>29</v>
      </c>
      <c r="B90" s="156"/>
      <c r="C90" s="156"/>
      <c r="D90" s="156"/>
      <c r="E90" s="156"/>
      <c r="F90" s="156"/>
      <c r="G90" s="156"/>
      <c r="H90" s="156"/>
      <c r="I90" s="157"/>
      <c r="J90" s="97">
        <f t="shared" si="2"/>
        <v>0</v>
      </c>
      <c r="K90" s="109"/>
      <c r="L90" s="149"/>
      <c r="M90" s="109"/>
      <c r="N90" s="109"/>
      <c r="O90" s="70" t="s">
        <v>109</v>
      </c>
    </row>
    <row r="91" spans="1:15">
      <c r="A91" s="104" t="s">
        <v>171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4" t="s">
        <v>47</v>
      </c>
      <c r="B93" s="164"/>
      <c r="C93" s="164"/>
      <c r="D93" s="165" t="s">
        <v>48</v>
      </c>
      <c r="E93" s="165"/>
      <c r="F93" s="10" t="s">
        <v>49</v>
      </c>
      <c r="G93" s="164" t="s">
        <v>50</v>
      </c>
      <c r="H93" s="164"/>
      <c r="I93" s="164"/>
      <c r="J93" s="164"/>
      <c r="K93" s="109"/>
      <c r="L93" s="109"/>
      <c r="M93" s="109"/>
      <c r="N93" s="109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131123.82999999999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119747.79</v>
      </c>
      <c r="L95" s="150"/>
      <c r="O95" s="1" t="s">
        <v>110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57439.040000000001</v>
      </c>
      <c r="L96" s="150"/>
      <c r="O96" s="1" t="s">
        <v>111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73684.789999999979</v>
      </c>
      <c r="L97" s="150"/>
      <c r="O97" s="1" t="s">
        <v>112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131123.82999999999</v>
      </c>
      <c r="L98" s="150"/>
      <c r="O98" s="1" t="s">
        <v>113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131123.82999999999</v>
      </c>
      <c r="L99" s="150"/>
      <c r="O99" s="1" t="s">
        <v>114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115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116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56030.21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4228.7</v>
      </c>
      <c r="L103" s="150"/>
      <c r="O103" s="1" t="s">
        <v>119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56694.45</v>
      </c>
      <c r="L104" s="150"/>
      <c r="O104" s="1" t="s">
        <v>120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0</v>
      </c>
      <c r="L105" s="150"/>
      <c r="O105" s="1" t="s">
        <v>121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56030.21</v>
      </c>
      <c r="L106" s="150"/>
      <c r="O106" s="1" t="s">
        <v>122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56030.21</v>
      </c>
      <c r="L107" s="150"/>
      <c r="O107" s="1" t="s">
        <v>123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124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125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99852.19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6696.99</v>
      </c>
      <c r="L111" s="150"/>
      <c r="O111" s="1" t="s">
        <v>127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102148.92</v>
      </c>
      <c r="L112" s="150"/>
      <c r="O112" s="1" t="s">
        <v>128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0</v>
      </c>
      <c r="L113" s="150"/>
      <c r="O113" s="1" t="s">
        <v>129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99852.19</v>
      </c>
      <c r="L114" s="150"/>
      <c r="O114" s="1" t="s">
        <v>130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99852.19</v>
      </c>
      <c r="L115" s="150"/>
      <c r="O115" s="1" t="s">
        <v>131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132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133</v>
      </c>
    </row>
    <row r="118" spans="1:15" ht="32.25" hidden="1" customHeight="1" outlineLevel="1">
      <c r="A118" s="145">
        <f>IF(VLOOKUP("тко",АО,3,FALSE)&gt;0,"Обращение с ТКО",0)</f>
        <v>0</v>
      </c>
      <c r="B118" s="145"/>
      <c r="C118" s="145"/>
      <c r="D118" s="146">
        <f>IF(VLOOKUP("тко",АО,3,FALSE)&gt;0,VLOOKUP("тко",АО,3,FALSE),0)</f>
        <v>0</v>
      </c>
      <c r="E118" s="146"/>
      <c r="F118" s="13">
        <f>IF(VLOOKUP("тко",АО,3,FALSE)&gt;0,VLOOKUP("тко",АО,4,FALSE),0)</f>
        <v>0</v>
      </c>
      <c r="G118" s="147">
        <f>VLOOKUP("тко",АО,5,FALSE)</f>
        <v>0</v>
      </c>
      <c r="H118" s="146"/>
      <c r="I118" s="146"/>
      <c r="J118" s="146"/>
      <c r="L118" s="47"/>
    </row>
    <row r="119" spans="1:15" ht="32.25" hidden="1" customHeight="1" outlineLevel="2">
      <c r="A119" s="141">
        <f t="shared" ref="A119:A125" si="8">IF(VLOOKUP("тко",АО,3,FALSE)&gt;0,VLOOKUP(O119,АО,2,FALSE),0)</f>
        <v>0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0</v>
      </c>
      <c r="L119" s="47"/>
      <c r="O119" s="1" t="s">
        <v>135</v>
      </c>
    </row>
    <row r="120" spans="1:15" ht="32.25" hidden="1" customHeight="1" outlineLevel="2">
      <c r="A120" s="141">
        <f t="shared" si="8"/>
        <v>0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0</v>
      </c>
      <c r="L120" s="47"/>
      <c r="O120" s="1" t="s">
        <v>136</v>
      </c>
    </row>
    <row r="121" spans="1:15" ht="32.25" hidden="1" customHeight="1" outlineLevel="2">
      <c r="A121" s="141">
        <f t="shared" si="8"/>
        <v>0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0</v>
      </c>
      <c r="L121" s="47"/>
      <c r="O121" s="1" t="s">
        <v>137</v>
      </c>
    </row>
    <row r="122" spans="1:15" ht="32.25" hidden="1" customHeight="1" outlineLevel="2">
      <c r="A122" s="141">
        <f t="shared" si="8"/>
        <v>0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0</v>
      </c>
      <c r="L122" s="47"/>
      <c r="O122" s="1" t="s">
        <v>138</v>
      </c>
    </row>
    <row r="123" spans="1:15" ht="32.25" hidden="1" customHeight="1" outlineLevel="2">
      <c r="A123" s="141">
        <f t="shared" si="8"/>
        <v>0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0</v>
      </c>
      <c r="L123" s="47"/>
      <c r="O123" s="1" t="s">
        <v>139</v>
      </c>
    </row>
    <row r="124" spans="1:15" ht="32.25" hidden="1" customHeight="1" outlineLevel="2">
      <c r="A124" s="141">
        <f t="shared" si="8"/>
        <v>0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7"/>
      <c r="O124" s="1" t="s">
        <v>140</v>
      </c>
    </row>
    <row r="125" spans="1:15" ht="32.25" hidden="1" customHeight="1" outlineLevel="2">
      <c r="A125" s="141">
        <f t="shared" si="8"/>
        <v>0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7"/>
      <c r="O125" s="1" t="s">
        <v>141</v>
      </c>
    </row>
    <row r="126" spans="1:15" ht="32.25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7">
        <f>VLOOKUP("гвс",АО,5,FALSE)</f>
        <v>310410.08</v>
      </c>
      <c r="H126" s="146"/>
      <c r="I126" s="146"/>
      <c r="J126" s="146"/>
      <c r="L126" s="47"/>
    </row>
    <row r="127" spans="1:15" ht="32.25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22291.57</v>
      </c>
      <c r="L127" s="47"/>
      <c r="O127" s="1" t="s">
        <v>143</v>
      </c>
    </row>
    <row r="128" spans="1:15" ht="32.25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285664.44</v>
      </c>
      <c r="L128" s="47"/>
      <c r="O128" s="1" t="s">
        <v>144</v>
      </c>
    </row>
    <row r="129" spans="1:15" ht="32.25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24745.640000000014</v>
      </c>
      <c r="L129" s="47"/>
      <c r="O129" s="1" t="s">
        <v>145</v>
      </c>
    </row>
    <row r="130" spans="1:15" ht="32.25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310410.08</v>
      </c>
      <c r="L130" s="47"/>
      <c r="O130" s="1" t="s">
        <v>146</v>
      </c>
    </row>
    <row r="131" spans="1:15" ht="32.25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310410.08</v>
      </c>
      <c r="L131" s="47"/>
      <c r="O131" s="1" t="s">
        <v>147</v>
      </c>
    </row>
    <row r="132" spans="1:15" ht="32.25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7"/>
      <c r="O132" s="1" t="s">
        <v>148</v>
      </c>
    </row>
    <row r="133" spans="1:15" ht="32.25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7"/>
      <c r="O133" s="1" t="s">
        <v>149</v>
      </c>
    </row>
    <row r="134" spans="1:15" ht="32.25" customHeight="1" outlineLevel="1">
      <c r="A134" s="145" t="str">
        <f>IF(VLOOKUP("отопление",АО,3,FALSE)&gt;0,"Отопление",0)</f>
        <v>Отопление</v>
      </c>
      <c r="B134" s="145"/>
      <c r="C134" s="145"/>
      <c r="D134" s="146" t="str">
        <f>IF(VLOOKUP("отопление",АО,3,FALSE)&gt;0,VLOOKUP("отопление",АО,3,FALSE),0)</f>
        <v>Предоставляется</v>
      </c>
      <c r="E134" s="146"/>
      <c r="F134" s="13" t="str">
        <f>IF(VLOOKUP("отопление",АО,3,FALSE)&gt;0,VLOOKUP("отопление",АО,4,FALSE),0)</f>
        <v>Гкал</v>
      </c>
      <c r="G134" s="147">
        <f>VLOOKUP("отопление",АО,5,FALSE)</f>
        <v>855039.33</v>
      </c>
      <c r="H134" s="146"/>
      <c r="I134" s="146"/>
      <c r="J134" s="146"/>
      <c r="L134" s="47"/>
    </row>
    <row r="135" spans="1:15" ht="32.25" customHeight="1" outlineLevel="2">
      <c r="A135" s="141" t="str">
        <f t="shared" ref="A135:A141" si="12">IF(VLOOKUP("отопление",АО,3,FALSE)&gt;0,VLOOKUP(O135,АО,2,FALSE),0)</f>
        <v>Общий объем потребления, нат. показ.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625.89</v>
      </c>
      <c r="L135" s="47"/>
      <c r="O135" s="1" t="s">
        <v>151</v>
      </c>
    </row>
    <row r="136" spans="1:15" ht="32.25" customHeight="1" outlineLevel="2">
      <c r="A136" s="141" t="str">
        <f t="shared" si="12"/>
        <v>Оплачено потребителями, руб.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835000</v>
      </c>
      <c r="L136" s="47"/>
      <c r="O136" s="1" t="s">
        <v>152</v>
      </c>
    </row>
    <row r="137" spans="1:15" ht="32.25" customHeight="1" outlineLevel="2">
      <c r="A137" s="141" t="str">
        <f t="shared" si="12"/>
        <v>Задолженность потребителей, руб.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20039.329999999958</v>
      </c>
      <c r="L137" s="47"/>
      <c r="O137" s="1" t="s">
        <v>153</v>
      </c>
    </row>
    <row r="138" spans="1:15" ht="32.25" customHeight="1" outlineLevel="2">
      <c r="A138" s="141" t="str">
        <f t="shared" si="12"/>
        <v>Начислено поставщиком (поставщиками) коммунального ресурса, руб.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855039.33</v>
      </c>
      <c r="L138" s="47"/>
      <c r="O138" s="1" t="s">
        <v>154</v>
      </c>
    </row>
    <row r="139" spans="1:15" ht="32.25" customHeight="1" outlineLevel="2">
      <c r="A139" s="141" t="str">
        <f t="shared" si="12"/>
        <v>Оплачено поставщику (поставщикам) коммунального ресурса, руб.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855039.33</v>
      </c>
      <c r="L139" s="47"/>
      <c r="O139" s="1" t="s">
        <v>155</v>
      </c>
    </row>
    <row r="140" spans="1:15" ht="32.25" customHeight="1" outlineLevel="2">
      <c r="A140" s="141" t="str">
        <f t="shared" si="12"/>
        <v>Задолженность перед поставщиком (поставщиками) коммунального ресурса, руб.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7"/>
      <c r="O140" s="1" t="s">
        <v>156</v>
      </c>
    </row>
    <row r="141" spans="1:15" ht="32.25" customHeight="1" outlineLevel="2">
      <c r="A141" s="141" t="str">
        <f t="shared" si="12"/>
        <v>Размер пени и штрафов, уплаченных поставщику (поставщикам) коммунального ресурса, руб.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7"/>
      <c r="O141" s="1" t="s">
        <v>157</v>
      </c>
    </row>
    <row r="143" spans="1:15">
      <c r="A143" s="11" t="s">
        <v>43</v>
      </c>
    </row>
    <row r="144" spans="1:15" ht="18.75" customHeight="1" outlineLevel="1">
      <c r="A144" s="141" t="s">
        <v>44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0</v>
      </c>
      <c r="O144" t="s">
        <v>167</v>
      </c>
    </row>
    <row r="145" spans="1:15" ht="18.75" customHeight="1" outlineLevel="1">
      <c r="A145" s="141" t="s">
        <v>45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0</v>
      </c>
      <c r="L145" s="15"/>
      <c r="O145" t="s">
        <v>168</v>
      </c>
    </row>
    <row r="146" spans="1:15" ht="30" customHeight="1" outlineLevel="1">
      <c r="A146" s="141" t="s">
        <v>170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0</v>
      </c>
      <c r="O146" t="s">
        <v>169</v>
      </c>
    </row>
    <row r="149" spans="1:15" ht="52.5" customHeight="1">
      <c r="A149" s="166" t="s">
        <v>182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183</v>
      </c>
      <c r="E151" s="3">
        <v>42736</v>
      </c>
    </row>
    <row r="152" spans="1:15">
      <c r="A152" s="1" t="s">
        <v>0</v>
      </c>
      <c r="E152" s="3">
        <v>43100</v>
      </c>
    </row>
    <row r="154" spans="1:15" ht="39.75" customHeight="1">
      <c r="A154" s="168" t="s">
        <v>190</v>
      </c>
      <c r="B154" s="168"/>
      <c r="C154" s="168"/>
      <c r="D154" s="168"/>
      <c r="E154" s="27">
        <f>ПТО!G1</f>
        <v>-6759.51</v>
      </c>
    </row>
    <row r="155" spans="1:15" ht="34.5" customHeight="1">
      <c r="A155" s="167" t="s">
        <v>222</v>
      </c>
      <c r="B155" s="167"/>
      <c r="C155" s="167"/>
      <c r="D155" s="167"/>
      <c r="E155" s="28">
        <f>J13</f>
        <v>147648.48000000001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18</v>
      </c>
      <c r="B157" s="151"/>
      <c r="C157" s="151"/>
      <c r="D157" s="151"/>
      <c r="E157" s="151"/>
      <c r="F157" s="151" t="s">
        <v>19</v>
      </c>
      <c r="G157" s="151"/>
      <c r="H157" s="20" t="s">
        <v>56</v>
      </c>
      <c r="I157" s="151" t="s">
        <v>20</v>
      </c>
      <c r="J157" s="151"/>
    </row>
    <row r="158" spans="1:15" ht="29.25" customHeight="1">
      <c r="A158" s="143" t="str">
        <f t="shared" ref="A158:A163" si="14">IF(N158&gt;0,N158,0)</f>
        <v>Техническое освидетельствование лифтов.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16200</v>
      </c>
      <c r="G158" s="148"/>
      <c r="H158" s="24" t="str">
        <f t="shared" ref="H158:H187" si="16">VLOOKUP(A158,$A$28:$J$72,8,FALSE)</f>
        <v>ежегодно</v>
      </c>
      <c r="I158" s="144">
        <f t="shared" ref="I158:I161" si="17">VLOOKUP(A158,$A$28:$J$72,9,FALSE)</f>
        <v>2</v>
      </c>
      <c r="J158" s="144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3" t="str">
        <f t="shared" si="14"/>
        <v>Техническое обслуживание охранной сигнализации.</v>
      </c>
      <c r="B159" s="143"/>
      <c r="C159" s="143"/>
      <c r="D159" s="143"/>
      <c r="E159" s="143"/>
      <c r="F159" s="148">
        <f t="shared" si="15"/>
        <v>18000</v>
      </c>
      <c r="G159" s="148"/>
      <c r="H159" s="24" t="str">
        <f t="shared" si="16"/>
        <v>ежемесячно</v>
      </c>
      <c r="I159" s="144">
        <f t="shared" si="17"/>
        <v>12</v>
      </c>
      <c r="J159" s="144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43" t="str">
        <f t="shared" si="14"/>
        <v>Вывоз снега с придомовой территории.</v>
      </c>
      <c r="B160" s="143"/>
      <c r="C160" s="143"/>
      <c r="D160" s="143"/>
      <c r="E160" s="143"/>
      <c r="F160" s="148">
        <f t="shared" si="15"/>
        <v>11400</v>
      </c>
      <c r="G160" s="148"/>
      <c r="H160" s="24" t="str">
        <f t="shared" si="16"/>
        <v>разово</v>
      </c>
      <c r="I160" s="144">
        <f t="shared" si="17"/>
        <v>5</v>
      </c>
      <c r="J160" s="144"/>
      <c r="M160" s="22" t="s">
        <v>71</v>
      </c>
      <c r="N160" s="1" t="str">
        <v>Вывоз снега с придомовой территории.</v>
      </c>
    </row>
    <row r="161" spans="1:14" ht="28.5" customHeight="1">
      <c r="A161" s="143" t="str">
        <f>IF(N161&gt;0,N161,0)</f>
        <v>Монтаж системы видеонаблюдения.</v>
      </c>
      <c r="B161" s="143"/>
      <c r="C161" s="143"/>
      <c r="D161" s="143"/>
      <c r="E161" s="143"/>
      <c r="F161" s="148">
        <f t="shared" si="15"/>
        <v>29876</v>
      </c>
      <c r="G161" s="148"/>
      <c r="H161" s="24" t="str">
        <f t="shared" si="16"/>
        <v>разово</v>
      </c>
      <c r="I161" s="144">
        <f t="shared" si="17"/>
        <v>1</v>
      </c>
      <c r="J161" s="144"/>
      <c r="M161" s="22" t="s">
        <v>71</v>
      </c>
      <c r="N161" s="1" t="str">
        <v>Монтаж системы видеонаблюдения.</v>
      </c>
    </row>
    <row r="162" spans="1:14" ht="28.5" customHeight="1">
      <c r="A162" s="143" t="str">
        <f t="shared" si="14"/>
        <v>Приобретение и установка информационного стенда.</v>
      </c>
      <c r="B162" s="143"/>
      <c r="C162" s="143"/>
      <c r="D162" s="143"/>
      <c r="E162" s="143"/>
      <c r="F162" s="148">
        <f t="shared" si="15"/>
        <v>5670</v>
      </c>
      <c r="G162" s="148"/>
      <c r="H162" s="24">
        <f t="shared" si="16"/>
        <v>0</v>
      </c>
      <c r="I162" s="144">
        <f>VLOOKUP(A162,$A$28:$J$72,9,FALSE)</f>
        <v>1</v>
      </c>
      <c r="J162" s="144"/>
      <c r="M162" s="22" t="s">
        <v>71</v>
      </c>
      <c r="N162" s="1" t="str">
        <v>Приобретение и установка информационного стенда.</v>
      </c>
    </row>
    <row r="163" spans="1:14" ht="28.5" customHeight="1">
      <c r="A163" s="143" t="str">
        <f t="shared" si="14"/>
        <v>Монтаж ограждения лестничного марша.</v>
      </c>
      <c r="B163" s="143"/>
      <c r="C163" s="143"/>
      <c r="D163" s="143"/>
      <c r="E163" s="143"/>
      <c r="F163" s="148">
        <f t="shared" si="15"/>
        <v>17840</v>
      </c>
      <c r="G163" s="148"/>
      <c r="H163" s="24" t="str">
        <f t="shared" si="16"/>
        <v>разово</v>
      </c>
      <c r="I163" s="144">
        <f>VLOOKUP(A163,$A$28:$J$72,9,FALSE)</f>
        <v>1</v>
      </c>
      <c r="J163" s="144"/>
      <c r="M163" s="22" t="s">
        <v>71</v>
      </c>
      <c r="N163" s="1" t="str">
        <v>Монтаж ограждения лестничного марша.</v>
      </c>
    </row>
    <row r="164" spans="1:14" ht="28.5" customHeight="1">
      <c r="A164" s="143" t="str">
        <f t="shared" ref="A164:A187" si="18">IF(N164&gt;0,N164,0)</f>
        <v>Монтаж окна на 13 этаже.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11539.05</v>
      </c>
      <c r="G164" s="148"/>
      <c r="H164" s="29" t="str">
        <f t="shared" si="16"/>
        <v>разово</v>
      </c>
      <c r="I164" s="144">
        <f t="shared" ref="I164:I187" si="20">VLOOKUP(A164,$A$28:$J$72,9,FALSE)</f>
        <v>1</v>
      </c>
      <c r="J164" s="144"/>
      <c r="M164" s="22" t="s">
        <v>71</v>
      </c>
      <c r="N164" s="1" t="str">
        <v>Монтаж окна на 13 этаже.</v>
      </c>
    </row>
    <row r="165" spans="1:14" ht="28.5" customHeight="1">
      <c r="A165" s="143" t="str">
        <f t="shared" si="18"/>
        <v>Приобретение и установка парковочных столбиков возле подъезда.</v>
      </c>
      <c r="B165" s="143"/>
      <c r="C165" s="143"/>
      <c r="D165" s="143"/>
      <c r="E165" s="143"/>
      <c r="F165" s="148">
        <f t="shared" si="19"/>
        <v>4915.24</v>
      </c>
      <c r="G165" s="148"/>
      <c r="H165" s="29" t="str">
        <f t="shared" si="16"/>
        <v>разово</v>
      </c>
      <c r="I165" s="144">
        <f t="shared" si="20"/>
        <v>4</v>
      </c>
      <c r="J165" s="144"/>
      <c r="M165" s="22" t="s">
        <v>71</v>
      </c>
      <c r="N165" s="1" t="str">
        <v>Приобретение и установка парковочных столбиков возле подъезда.</v>
      </c>
    </row>
    <row r="166" spans="1:14" ht="28.5" customHeight="1">
      <c r="A166" s="143" t="str">
        <f t="shared" si="18"/>
        <v>Приобретение и установка парковочных столбиков проход на лестницу.</v>
      </c>
      <c r="B166" s="143"/>
      <c r="C166" s="143"/>
      <c r="D166" s="143"/>
      <c r="E166" s="143"/>
      <c r="F166" s="148">
        <f t="shared" si="19"/>
        <v>819.2</v>
      </c>
      <c r="G166" s="148"/>
      <c r="H166" s="29" t="str">
        <f t="shared" si="16"/>
        <v>разово</v>
      </c>
      <c r="I166" s="144">
        <f t="shared" si="20"/>
        <v>1</v>
      </c>
      <c r="J166" s="144"/>
      <c r="M166" s="22" t="s">
        <v>71</v>
      </c>
      <c r="N166" s="1" t="str">
        <v>Приобретение и установка парковочных столбиков проход на лестницу.</v>
      </c>
    </row>
    <row r="167" spans="1:14" ht="28.5" customHeight="1">
      <c r="A167" s="143" t="str">
        <f t="shared" si="18"/>
        <v>Изготовление и монтаж табличек "Выгул собак запрещен".</v>
      </c>
      <c r="B167" s="143"/>
      <c r="C167" s="143"/>
      <c r="D167" s="143"/>
      <c r="E167" s="143"/>
      <c r="F167" s="148">
        <f t="shared" si="19"/>
        <v>1125</v>
      </c>
      <c r="G167" s="148"/>
      <c r="H167" s="29" t="str">
        <f t="shared" si="16"/>
        <v>разово</v>
      </c>
      <c r="I167" s="144">
        <f t="shared" si="20"/>
        <v>4</v>
      </c>
      <c r="J167" s="144"/>
      <c r="M167" s="22" t="s">
        <v>71</v>
      </c>
      <c r="N167" s="1" t="str">
        <v>Изготовление и монтаж табличек "Выгул собак запрещен".</v>
      </c>
    </row>
    <row r="168" spans="1:14" ht="28.5" customHeight="1">
      <c r="A168" s="143" t="str">
        <f t="shared" si="18"/>
        <v>Ремонт светильников и установка светодиодных ламп в подъезде.</v>
      </c>
      <c r="B168" s="143"/>
      <c r="C168" s="143"/>
      <c r="D168" s="143"/>
      <c r="E168" s="143"/>
      <c r="F168" s="148">
        <f t="shared" si="19"/>
        <v>2802</v>
      </c>
      <c r="G168" s="148"/>
      <c r="H168" s="29" t="str">
        <f t="shared" si="16"/>
        <v>разово</v>
      </c>
      <c r="I168" s="144">
        <f t="shared" si="20"/>
        <v>9</v>
      </c>
      <c r="J168" s="144"/>
      <c r="M168" s="22" t="s">
        <v>71</v>
      </c>
      <c r="N168" s="1" t="str">
        <v>Ремонт светильников и установка светодиодных ламп в подъезде.</v>
      </c>
    </row>
    <row r="169" spans="1:14" ht="28.5" customHeight="1">
      <c r="A169" s="143" t="str">
        <f t="shared" si="18"/>
        <v>Благоустройство территрии (посадка цветов).</v>
      </c>
      <c r="B169" s="143"/>
      <c r="C169" s="143"/>
      <c r="D169" s="143"/>
      <c r="E169" s="143"/>
      <c r="F169" s="148">
        <f t="shared" si="19"/>
        <v>500</v>
      </c>
      <c r="G169" s="148"/>
      <c r="H169" s="29" t="str">
        <f t="shared" si="16"/>
        <v>разово</v>
      </c>
      <c r="I169" s="144">
        <f t="shared" si="20"/>
        <v>1</v>
      </c>
      <c r="J169" s="144"/>
      <c r="M169" s="22" t="s">
        <v>71</v>
      </c>
      <c r="N169" s="1" t="str">
        <v>Благоустройство территрии (посадка цветов).</v>
      </c>
    </row>
    <row r="170" spans="1:14" ht="28.5" customHeight="1">
      <c r="A170" s="143" t="str">
        <f t="shared" si="18"/>
        <v>Изготовление и монтаж вх. двери.</v>
      </c>
      <c r="B170" s="143"/>
      <c r="C170" s="143"/>
      <c r="D170" s="143"/>
      <c r="E170" s="143"/>
      <c r="F170" s="148">
        <f t="shared" si="19"/>
        <v>24000</v>
      </c>
      <c r="G170" s="148"/>
      <c r="H170" s="29" t="str">
        <f t="shared" si="16"/>
        <v>разово</v>
      </c>
      <c r="I170" s="144">
        <f t="shared" si="20"/>
        <v>1</v>
      </c>
      <c r="J170" s="144"/>
      <c r="M170" s="22" t="s">
        <v>71</v>
      </c>
      <c r="N170" s="1" t="str">
        <v>Изготовление и монтаж вх. двери.</v>
      </c>
    </row>
    <row r="171" spans="1:14" ht="28.5" customHeight="1">
      <c r="A171" s="143" t="str">
        <f t="shared" si="18"/>
        <v>Изготовление и установка ограждения газона.</v>
      </c>
      <c r="B171" s="143"/>
      <c r="C171" s="143"/>
      <c r="D171" s="143"/>
      <c r="E171" s="143"/>
      <c r="F171" s="148">
        <f t="shared" si="19"/>
        <v>16605</v>
      </c>
      <c r="G171" s="148"/>
      <c r="H171" s="29" t="str">
        <f t="shared" si="16"/>
        <v>разово</v>
      </c>
      <c r="I171" s="144">
        <f t="shared" si="20"/>
        <v>19</v>
      </c>
      <c r="J171" s="144"/>
      <c r="M171" s="22" t="s">
        <v>71</v>
      </c>
      <c r="N171" s="1" t="str">
        <v>Изготовление и установка ограждения газона.</v>
      </c>
    </row>
    <row r="172" spans="1:14" ht="28.5" customHeight="1">
      <c r="A172" s="143" t="str">
        <f t="shared" si="18"/>
        <v>Генеральная уборка подъезда.</v>
      </c>
      <c r="B172" s="143"/>
      <c r="C172" s="143"/>
      <c r="D172" s="143"/>
      <c r="E172" s="143"/>
      <c r="F172" s="148">
        <f t="shared" si="19"/>
        <v>3471</v>
      </c>
      <c r="G172" s="148"/>
      <c r="H172" s="29" t="str">
        <f t="shared" si="16"/>
        <v>разово</v>
      </c>
      <c r="I172" s="144">
        <f t="shared" si="20"/>
        <v>1</v>
      </c>
      <c r="J172" s="144"/>
      <c r="M172" s="22" t="s">
        <v>71</v>
      </c>
      <c r="N172" s="1" t="str">
        <v>Генеральная уборка подъезда.</v>
      </c>
    </row>
    <row r="173" spans="1:14" ht="28.5" customHeight="1">
      <c r="A173" s="143" t="str">
        <f t="shared" si="18"/>
        <v>Установка и приобретение дорожных знаков.</v>
      </c>
      <c r="B173" s="143"/>
      <c r="C173" s="143"/>
      <c r="D173" s="143"/>
      <c r="E173" s="143"/>
      <c r="F173" s="148">
        <f t="shared" si="19"/>
        <v>1080</v>
      </c>
      <c r="G173" s="148"/>
      <c r="H173" s="29" t="str">
        <f t="shared" si="16"/>
        <v>разово</v>
      </c>
      <c r="I173" s="144">
        <f t="shared" si="20"/>
        <v>2</v>
      </c>
      <c r="J173" s="144"/>
      <c r="M173" s="22" t="s">
        <v>71</v>
      </c>
      <c r="N173" s="1" t="str">
        <v>Установка и приобретение дорожных знаков.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71</v>
      </c>
      <c r="N174" s="1">
        <v>0</v>
      </c>
    </row>
    <row r="175" spans="1:14" ht="28.5" customHeight="1">
      <c r="A175" s="143" t="str">
        <f t="shared" si="18"/>
        <v>Установка гирлянд над подъездом.</v>
      </c>
      <c r="B175" s="143"/>
      <c r="C175" s="143"/>
      <c r="D175" s="143"/>
      <c r="E175" s="143"/>
      <c r="F175" s="148">
        <f t="shared" si="19"/>
        <v>1061</v>
      </c>
      <c r="G175" s="148"/>
      <c r="H175" s="29" t="str">
        <f t="shared" si="16"/>
        <v>разово</v>
      </c>
      <c r="I175" s="144">
        <f t="shared" si="20"/>
        <v>1</v>
      </c>
      <c r="J175" s="144"/>
      <c r="M175" s="22" t="s">
        <v>71</v>
      </c>
      <c r="N175" s="1" t="str">
        <v>Установка гирлянд над подъездом.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71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71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71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71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71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71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71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71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71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71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71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71</v>
      </c>
      <c r="N187" s="1">
        <v>0</v>
      </c>
    </row>
    <row r="188" spans="1:14" ht="29.25" customHeight="1">
      <c r="A188" s="104" t="s">
        <v>171</v>
      </c>
    </row>
    <row r="189" spans="1:14" ht="29.25" customHeight="1">
      <c r="A189" s="104" t="s">
        <v>171</v>
      </c>
    </row>
    <row r="190" spans="1:14" ht="36.75" customHeight="1">
      <c r="A190" s="168" t="s">
        <v>187</v>
      </c>
      <c r="B190" s="168"/>
      <c r="C190" s="168"/>
      <c r="D190" s="168"/>
      <c r="E190" s="27">
        <f>SUM(F158:G187)</f>
        <v>166903.49</v>
      </c>
    </row>
    <row r="191" spans="1:14" ht="51.75" customHeight="1">
      <c r="A191" s="168" t="s">
        <v>188</v>
      </c>
      <c r="B191" s="168"/>
      <c r="C191" s="168"/>
      <c r="D191" s="168"/>
      <c r="E191" s="27">
        <f>E190+E154-E155</f>
        <v>12495.499999999971</v>
      </c>
    </row>
    <row r="192" spans="1:14">
      <c r="A192" s="104" t="s">
        <v>171</v>
      </c>
    </row>
    <row r="193" spans="1:10" ht="62.25" customHeight="1">
      <c r="A193" s="142" t="s">
        <v>189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>
      <c r="A194" s="140" t="str">
        <f>ПТО!F12</f>
        <v xml:space="preserve"> - техническое освидетельствование двух лифтов</v>
      </c>
      <c r="B194" s="140"/>
      <c r="C194" s="140"/>
      <c r="D194" s="140"/>
      <c r="E194" s="140"/>
      <c r="F194" s="140"/>
      <c r="G194" s="140"/>
      <c r="H194" s="49">
        <f>ПТО!G12</f>
        <v>16200</v>
      </c>
      <c r="I194" s="50" t="s">
        <v>72</v>
      </c>
    </row>
    <row r="195" spans="1:10" ht="18.75" customHeight="1">
      <c r="A195" s="140" t="str">
        <f>ПТО!F13</f>
        <v xml:space="preserve"> - тех. обслуживание охранной сигнализации (за 1 год)</v>
      </c>
      <c r="B195" s="140"/>
      <c r="C195" s="140"/>
      <c r="D195" s="140"/>
      <c r="E195" s="140"/>
      <c r="F195" s="140"/>
      <c r="G195" s="140"/>
      <c r="H195" s="49">
        <f>ПТО!G13</f>
        <v>18000</v>
      </c>
      <c r="I195" s="50" t="s">
        <v>72</v>
      </c>
    </row>
    <row r="196" spans="1:10" ht="18.75" customHeight="1">
      <c r="A196" s="140" t="str">
        <f>ПТО!F14</f>
        <v xml:space="preserve"> - поверка (замена) манометров и термометров</v>
      </c>
      <c r="B196" s="140"/>
      <c r="C196" s="140"/>
      <c r="D196" s="140"/>
      <c r="E196" s="140"/>
      <c r="F196" s="140"/>
      <c r="G196" s="140"/>
      <c r="H196" s="49">
        <f>ПТО!G14</f>
        <v>1200</v>
      </c>
      <c r="I196" s="50" t="s">
        <v>72</v>
      </c>
    </row>
    <row r="197" spans="1:10" ht="18.75" customHeight="1">
      <c r="A197" s="140" t="str">
        <f>ПТО!F15</f>
        <v xml:space="preserve"> - непредвиденные затраты (компенсаторы, арматура, эл.арматура, замки и т.д.)</v>
      </c>
      <c r="B197" s="140"/>
      <c r="C197" s="140"/>
      <c r="D197" s="140"/>
      <c r="E197" s="140"/>
      <c r="F197" s="140"/>
      <c r="G197" s="140"/>
      <c r="H197" s="49">
        <f>ПТО!G15</f>
        <v>50000</v>
      </c>
      <c r="I197" s="50" t="s">
        <v>72</v>
      </c>
    </row>
    <row r="198" spans="1:10" ht="18.75" customHeight="1">
      <c r="A198" s="140" t="str">
        <f>ПТО!F16</f>
        <v xml:space="preserve"> - работы по выбору (решению) общего собрания или совета дома</v>
      </c>
      <c r="B198" s="140"/>
      <c r="C198" s="140"/>
      <c r="D198" s="140"/>
      <c r="E198" s="140"/>
      <c r="F198" s="140"/>
      <c r="G198" s="140"/>
      <c r="H198" s="49">
        <f>ПТО!G16</f>
        <v>50000</v>
      </c>
      <c r="I198" s="52" t="s">
        <v>72</v>
      </c>
    </row>
    <row r="199" spans="1:10" ht="18.75" hidden="1" customHeight="1">
      <c r="A199" s="140">
        <f>ПТО!F17</f>
        <v>0</v>
      </c>
      <c r="B199" s="140"/>
      <c r="C199" s="140"/>
      <c r="D199" s="140"/>
      <c r="E199" s="140"/>
      <c r="F199" s="140"/>
      <c r="G199" s="140"/>
      <c r="H199" s="49">
        <f>ПТО!G17</f>
        <v>0</v>
      </c>
      <c r="I199" s="50" t="s">
        <v>72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49">
        <f>ПТО!G18</f>
        <v>0</v>
      </c>
      <c r="I200" s="50" t="s">
        <v>72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49">
        <f>ПТО!G19</f>
        <v>0</v>
      </c>
      <c r="I201" s="50" t="s">
        <v>72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49">
        <f>ПТО!G20</f>
        <v>0</v>
      </c>
      <c r="I202" s="50" t="s">
        <v>72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49">
        <f>ПТО!G21</f>
        <v>0</v>
      </c>
      <c r="I203" s="50" t="s">
        <v>72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49">
        <f>ПТО!G22</f>
        <v>0</v>
      </c>
      <c r="I204" s="50" t="s">
        <v>72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49">
        <f>ПТО!G23</f>
        <v>0</v>
      </c>
      <c r="I205" s="50" t="s">
        <v>72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49">
        <f>ПТО!G24</f>
        <v>0</v>
      </c>
      <c r="I206" s="50" t="s">
        <v>72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49">
        <f>ПТО!G25</f>
        <v>0</v>
      </c>
      <c r="I207" s="50" t="s">
        <v>72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49">
        <f>ПТО!G26</f>
        <v>0</v>
      </c>
      <c r="I208" s="50" t="s">
        <v>72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49">
        <f>ПТО!G27</f>
        <v>0</v>
      </c>
      <c r="I209" s="50" t="s">
        <v>72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49">
        <f>ПТО!G28</f>
        <v>0</v>
      </c>
      <c r="I210" s="50" t="s">
        <v>72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49">
        <f>ПТО!G29</f>
        <v>0</v>
      </c>
      <c r="I211" s="50" t="s">
        <v>72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49">
        <f>ПТО!G30</f>
        <v>0</v>
      </c>
      <c r="I212" s="50" t="s">
        <v>72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49">
        <f>ПТО!G31</f>
        <v>0</v>
      </c>
      <c r="I213" s="50" t="s">
        <v>72</v>
      </c>
    </row>
    <row r="214" spans="1:9">
      <c r="A214" s="53" t="s">
        <v>73</v>
      </c>
      <c r="B214" s="54"/>
      <c r="C214" s="54"/>
      <c r="D214" s="54"/>
      <c r="E214" s="54"/>
      <c r="F214" s="54"/>
      <c r="G214" s="54"/>
      <c r="H214" s="55">
        <f>SUM(H194:H213)</f>
        <v>135400</v>
      </c>
      <c r="I214" s="56" t="s">
        <v>74</v>
      </c>
    </row>
  </sheetData>
  <sheetProtection selectLockedCells="1" selectUnlockedCells="1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0" sqref="A20:I2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65.285156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130" t="s">
        <v>18</v>
      </c>
      <c r="B1" s="130" t="s">
        <v>56</v>
      </c>
      <c r="C1" s="130" t="s">
        <v>20</v>
      </c>
      <c r="D1" s="130" t="s">
        <v>19</v>
      </c>
      <c r="E1" s="131"/>
      <c r="F1" s="100" t="s">
        <v>190</v>
      </c>
      <c r="G1" s="101">
        <v>-6759.51</v>
      </c>
    </row>
    <row r="2" spans="1:12" ht="18.75" customHeight="1">
      <c r="A2" s="137" t="s">
        <v>175</v>
      </c>
      <c r="B2" s="118" t="s">
        <v>178</v>
      </c>
      <c r="C2" s="119">
        <v>2</v>
      </c>
      <c r="D2" s="120">
        <f>8100*2</f>
        <v>16200</v>
      </c>
      <c r="E2" s="121" t="s">
        <v>205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7" t="s">
        <v>176</v>
      </c>
      <c r="B3" s="118" t="s">
        <v>179</v>
      </c>
      <c r="C3" s="119">
        <v>12</v>
      </c>
      <c r="D3" s="122">
        <f>1500*C3</f>
        <v>18000</v>
      </c>
      <c r="E3" s="121" t="s">
        <v>205</v>
      </c>
      <c r="F3" s="30"/>
      <c r="G3" s="30"/>
      <c r="L3" s="33" t="str">
        <f t="shared" si="0"/>
        <v>ТР</v>
      </c>
    </row>
    <row r="4" spans="1:12" ht="18.75" customHeight="1">
      <c r="A4" s="136" t="s">
        <v>177</v>
      </c>
      <c r="B4" s="124" t="s">
        <v>180</v>
      </c>
      <c r="C4" s="125">
        <v>5</v>
      </c>
      <c r="D4" s="122">
        <v>11400</v>
      </c>
      <c r="E4" s="121" t="s">
        <v>220</v>
      </c>
      <c r="F4" s="30"/>
      <c r="G4" s="30"/>
      <c r="L4" s="33" t="str">
        <f t="shared" si="0"/>
        <v>ТР</v>
      </c>
    </row>
    <row r="5" spans="1:12" ht="18.75" customHeight="1">
      <c r="A5" s="136" t="s">
        <v>192</v>
      </c>
      <c r="B5" s="124" t="s">
        <v>180</v>
      </c>
      <c r="C5" s="125">
        <v>1</v>
      </c>
      <c r="D5" s="122">
        <v>29876</v>
      </c>
      <c r="E5" s="121" t="s">
        <v>206</v>
      </c>
      <c r="F5" s="44"/>
      <c r="G5" s="44"/>
      <c r="K5" s="46"/>
      <c r="L5" s="33" t="str">
        <f t="shared" si="0"/>
        <v>ТР</v>
      </c>
    </row>
    <row r="6" spans="1:12" ht="18.75" customHeight="1">
      <c r="A6" s="139" t="s">
        <v>221</v>
      </c>
      <c r="B6" s="124"/>
      <c r="C6" s="129">
        <v>1</v>
      </c>
      <c r="D6" s="126">
        <v>5670</v>
      </c>
      <c r="E6" s="127" t="s">
        <v>207</v>
      </c>
      <c r="F6" s="44"/>
      <c r="G6" s="44"/>
      <c r="K6" s="46"/>
      <c r="L6" s="33" t="str">
        <f t="shared" si="0"/>
        <v>ТР</v>
      </c>
    </row>
    <row r="7" spans="1:12" ht="30" customHeight="1">
      <c r="A7" s="138" t="s">
        <v>193</v>
      </c>
      <c r="B7" s="124" t="s">
        <v>180</v>
      </c>
      <c r="C7" s="133">
        <v>1</v>
      </c>
      <c r="D7" s="134">
        <v>17840</v>
      </c>
      <c r="E7" s="135" t="s">
        <v>208</v>
      </c>
      <c r="F7" s="45"/>
      <c r="G7" s="45"/>
      <c r="K7" s="46"/>
      <c r="L7" s="33" t="str">
        <f t="shared" si="0"/>
        <v>ТР</v>
      </c>
    </row>
    <row r="8" spans="1:12" ht="18.75" customHeight="1">
      <c r="A8" s="137" t="s">
        <v>194</v>
      </c>
      <c r="B8" s="124" t="s">
        <v>180</v>
      </c>
      <c r="C8" s="129">
        <v>1</v>
      </c>
      <c r="D8" s="126">
        <v>11539.05</v>
      </c>
      <c r="E8" s="127" t="s">
        <v>209</v>
      </c>
      <c r="F8" s="45"/>
      <c r="G8" s="45"/>
      <c r="K8" s="43"/>
      <c r="L8" s="33" t="str">
        <f t="shared" si="0"/>
        <v>ТР</v>
      </c>
    </row>
    <row r="9" spans="1:12" ht="30">
      <c r="A9" s="128" t="s">
        <v>195</v>
      </c>
      <c r="B9" s="124" t="s">
        <v>180</v>
      </c>
      <c r="C9" s="129">
        <v>4</v>
      </c>
      <c r="D9" s="126">
        <v>4915.24</v>
      </c>
      <c r="E9" s="127" t="s">
        <v>210</v>
      </c>
      <c r="F9" s="44"/>
      <c r="G9" s="44"/>
      <c r="K9" s="43"/>
      <c r="L9" s="33" t="str">
        <f t="shared" si="0"/>
        <v>ТР</v>
      </c>
    </row>
    <row r="10" spans="1:12" ht="30">
      <c r="A10" s="128" t="s">
        <v>196</v>
      </c>
      <c r="B10" s="124" t="s">
        <v>180</v>
      </c>
      <c r="C10" s="129">
        <v>1</v>
      </c>
      <c r="D10" s="126">
        <v>819.2</v>
      </c>
      <c r="E10" s="127" t="s">
        <v>210</v>
      </c>
      <c r="L10" s="33" t="str">
        <f t="shared" si="0"/>
        <v>ТР</v>
      </c>
    </row>
    <row r="11" spans="1:12" ht="94.5">
      <c r="A11" s="136" t="s">
        <v>197</v>
      </c>
      <c r="B11" s="124" t="s">
        <v>180</v>
      </c>
      <c r="C11" s="119">
        <v>4</v>
      </c>
      <c r="D11" s="122">
        <v>1125</v>
      </c>
      <c r="E11" s="127" t="s">
        <v>211</v>
      </c>
      <c r="F11" s="111" t="s">
        <v>189</v>
      </c>
      <c r="G11" s="111"/>
      <c r="L11" s="33" t="str">
        <f t="shared" si="0"/>
        <v>ТР</v>
      </c>
    </row>
    <row r="12" spans="1:12">
      <c r="A12" s="136" t="s">
        <v>198</v>
      </c>
      <c r="B12" s="124" t="s">
        <v>180</v>
      </c>
      <c r="C12" s="119">
        <v>9</v>
      </c>
      <c r="D12" s="120">
        <v>2802</v>
      </c>
      <c r="E12" s="127" t="s">
        <v>212</v>
      </c>
      <c r="F12" s="117" t="s">
        <v>217</v>
      </c>
      <c r="G12" s="41">
        <v>16200</v>
      </c>
      <c r="L12" s="33" t="str">
        <f t="shared" si="0"/>
        <v>ТР</v>
      </c>
    </row>
    <row r="13" spans="1:12">
      <c r="A13" s="136" t="s">
        <v>199</v>
      </c>
      <c r="B13" s="124" t="s">
        <v>180</v>
      </c>
      <c r="C13" s="119">
        <v>1</v>
      </c>
      <c r="D13" s="120">
        <v>500</v>
      </c>
      <c r="E13" s="127" t="s">
        <v>213</v>
      </c>
      <c r="F13" s="117" t="s">
        <v>218</v>
      </c>
      <c r="G13" s="41">
        <v>18000</v>
      </c>
      <c r="L13" s="33" t="str">
        <f t="shared" si="0"/>
        <v>ТР</v>
      </c>
    </row>
    <row r="14" spans="1:12">
      <c r="A14" s="136" t="s">
        <v>200</v>
      </c>
      <c r="B14" s="124" t="s">
        <v>180</v>
      </c>
      <c r="C14" s="129">
        <v>1</v>
      </c>
      <c r="D14" s="120">
        <v>24000</v>
      </c>
      <c r="E14" s="127" t="s">
        <v>214</v>
      </c>
      <c r="F14" s="117" t="s">
        <v>184</v>
      </c>
      <c r="G14" s="41">
        <v>1200</v>
      </c>
      <c r="L14" s="33" t="str">
        <f t="shared" si="0"/>
        <v>ТР</v>
      </c>
    </row>
    <row r="15" spans="1:12">
      <c r="A15" s="136" t="s">
        <v>201</v>
      </c>
      <c r="B15" s="124" t="s">
        <v>180</v>
      </c>
      <c r="C15" s="119">
        <v>19</v>
      </c>
      <c r="D15" s="120">
        <v>16605</v>
      </c>
      <c r="E15" s="127" t="s">
        <v>215</v>
      </c>
      <c r="F15" s="117" t="s">
        <v>219</v>
      </c>
      <c r="G15" s="41">
        <v>50000</v>
      </c>
      <c r="L15" s="33" t="str">
        <f t="shared" si="0"/>
        <v>ТР</v>
      </c>
    </row>
    <row r="16" spans="1:12">
      <c r="A16" s="136" t="s">
        <v>202</v>
      </c>
      <c r="B16" s="124" t="s">
        <v>180</v>
      </c>
      <c r="C16" s="119">
        <v>1</v>
      </c>
      <c r="D16" s="120">
        <v>3471</v>
      </c>
      <c r="E16" s="127" t="s">
        <v>215</v>
      </c>
      <c r="F16" s="117" t="s">
        <v>185</v>
      </c>
      <c r="G16" s="41">
        <v>50000</v>
      </c>
      <c r="L16" s="33" t="str">
        <f t="shared" si="0"/>
        <v>ТР</v>
      </c>
    </row>
    <row r="17" spans="1:12" ht="15.75">
      <c r="A17" s="136" t="s">
        <v>203</v>
      </c>
      <c r="B17" s="124" t="s">
        <v>180</v>
      </c>
      <c r="C17" s="119">
        <v>2</v>
      </c>
      <c r="D17" s="122">
        <v>1080</v>
      </c>
      <c r="E17" s="127" t="s">
        <v>215</v>
      </c>
      <c r="F17" s="112"/>
      <c r="G17" s="113"/>
      <c r="L17" s="33" t="str">
        <f t="shared" si="0"/>
        <v>ТР</v>
      </c>
    </row>
    <row r="18" spans="1:12" ht="15.75">
      <c r="A18" s="123"/>
      <c r="B18" s="124"/>
      <c r="C18" s="129"/>
      <c r="D18" s="120"/>
      <c r="E18" s="127"/>
      <c r="F18" s="112"/>
      <c r="G18" s="113"/>
      <c r="L18" s="33">
        <f t="shared" si="0"/>
        <v>0</v>
      </c>
    </row>
    <row r="19" spans="1:12" ht="15.75">
      <c r="A19" s="136" t="s">
        <v>204</v>
      </c>
      <c r="B19" s="124" t="s">
        <v>180</v>
      </c>
      <c r="C19" s="129">
        <v>1</v>
      </c>
      <c r="D19" s="120">
        <v>1061</v>
      </c>
      <c r="E19" s="127" t="s">
        <v>216</v>
      </c>
      <c r="F19" s="112"/>
      <c r="G19" s="113"/>
      <c r="L19" s="33" t="str">
        <f t="shared" si="0"/>
        <v>ТР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167179.20000000001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167179.20000000001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172</v>
      </c>
      <c r="B40" s="38">
        <v>118882.92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118882.92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95354.04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95354.04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48708.959999999999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48708.959999999999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16924.32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16924.32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155621.04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155621.04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173</v>
      </c>
      <c r="B46" s="38">
        <v>206394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206394</v>
      </c>
      <c r="O46" s="41" t="str">
        <f t="shared" si="5"/>
        <v>Ежемесячно</v>
      </c>
      <c r="P46">
        <f t="shared" si="6"/>
        <v>12</v>
      </c>
    </row>
    <row r="47" spans="1:16" ht="25.5">
      <c r="A47" s="37" t="s">
        <v>186</v>
      </c>
      <c r="B47" s="132">
        <v>191120.88</v>
      </c>
      <c r="C47" s="38" t="s">
        <v>68</v>
      </c>
      <c r="D47" s="48">
        <v>12</v>
      </c>
      <c r="L47" s="40" t="str">
        <f t="shared" si="2"/>
        <v>СОД</v>
      </c>
      <c r="M47" t="str">
        <f t="shared" si="3"/>
        <v>Работы по обеспечению вывоза твердых бытовых отходов</v>
      </c>
      <c r="N47" s="41">
        <f t="shared" si="4"/>
        <v>191120.88</v>
      </c>
      <c r="O47" s="41" t="str">
        <f t="shared" si="5"/>
        <v>В соответствии с графиком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" zoomScale="85" zoomScaleNormal="85" workbookViewId="0">
      <selection activeCell="A20" sqref="A20:I2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3436.5</v>
      </c>
    </row>
    <row r="2" spans="1:10" ht="15.75" customHeight="1">
      <c r="A2" s="70" t="s">
        <v>79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80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81</v>
      </c>
      <c r="B4" s="72" t="s">
        <v>3</v>
      </c>
      <c r="C4" s="83">
        <v>330733.83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82</v>
      </c>
      <c r="B5" s="72" t="s">
        <v>4</v>
      </c>
      <c r="C5" s="79">
        <f>SUM(C6:C8)</f>
        <v>1147833.8400000001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83</v>
      </c>
      <c r="B6" s="72" t="s">
        <v>5</v>
      </c>
      <c r="C6" s="83">
        <v>1000185.36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84</v>
      </c>
      <c r="B7" s="72" t="s">
        <v>6</v>
      </c>
      <c r="C7" s="83">
        <v>147648.48000000001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85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86</v>
      </c>
      <c r="B9" s="72" t="s">
        <v>8</v>
      </c>
      <c r="C9" s="79">
        <f>SUM(C10:C14)</f>
        <v>1159385.08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87</v>
      </c>
      <c r="B10" s="72" t="s">
        <v>9</v>
      </c>
      <c r="C10" s="83">
        <v>1159385.08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88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89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90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91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92</v>
      </c>
      <c r="B15" s="72" t="s">
        <v>14</v>
      </c>
      <c r="C15" s="79">
        <f>C9</f>
        <v>1159385.08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93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94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95</v>
      </c>
      <c r="B18" s="72" t="s">
        <v>17</v>
      </c>
      <c r="C18" s="79">
        <f>IF(C16&gt;0,0,IF(C4&gt;0,C4+C5-C9,C5-C2-C9))</f>
        <v>319182.59000000008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158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96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71"/>
      <c r="N20" s="62"/>
    </row>
    <row r="21" spans="1:15" ht="15.75" customHeight="1">
      <c r="A21" s="70" t="s">
        <v>97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71"/>
      <c r="N21" s="62"/>
    </row>
    <row r="22" spans="1:15" ht="15.75" customHeight="1">
      <c r="A22" s="70" t="s">
        <v>98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71"/>
      <c r="N22" s="62"/>
    </row>
    <row r="23" spans="1:15" ht="15.75" customHeight="1">
      <c r="A23" s="70" t="s">
        <v>99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71"/>
      <c r="N23" s="62"/>
    </row>
    <row r="24" spans="1:15" ht="18.75">
      <c r="A24" s="73" t="s">
        <v>159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100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0"/>
      <c r="N25" s="63"/>
    </row>
    <row r="26" spans="1:15" ht="18.75" customHeight="1">
      <c r="A26" s="70" t="s">
        <v>101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0"/>
      <c r="N26" s="63"/>
    </row>
    <row r="27" spans="1:15" ht="18.75" customHeight="1">
      <c r="A27" s="70" t="s">
        <v>102</v>
      </c>
      <c r="B27" s="75" t="s">
        <v>3</v>
      </c>
      <c r="C27" s="86" t="s">
        <v>191</v>
      </c>
      <c r="D27" s="81" t="s">
        <v>59</v>
      </c>
      <c r="E27" s="64"/>
      <c r="F27" s="64"/>
      <c r="G27" s="64"/>
      <c r="H27" s="64"/>
      <c r="I27" s="64"/>
      <c r="J27" s="64"/>
      <c r="M27" s="170"/>
      <c r="N27" s="63"/>
    </row>
    <row r="28" spans="1:15" ht="18.75" customHeight="1">
      <c r="A28" s="70" t="s">
        <v>103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0"/>
      <c r="N28" s="63"/>
    </row>
    <row r="29" spans="1:15" ht="18.75" customHeight="1">
      <c r="A29" s="70" t="s">
        <v>104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0"/>
      <c r="N29" s="63"/>
    </row>
    <row r="30" spans="1:15" ht="18.75" customHeight="1">
      <c r="A30" s="70" t="s">
        <v>105</v>
      </c>
      <c r="B30" s="75" t="s">
        <v>17</v>
      </c>
      <c r="C30" s="86">
        <v>330993.15000000002</v>
      </c>
      <c r="D30" s="81" t="s">
        <v>65</v>
      </c>
      <c r="E30" s="64"/>
      <c r="F30" s="64"/>
      <c r="G30" s="64"/>
      <c r="H30" s="64"/>
      <c r="I30" s="64"/>
      <c r="J30" s="64"/>
      <c r="M30" s="170"/>
      <c r="N30" s="63"/>
    </row>
    <row r="31" spans="1:15" ht="18.75" customHeight="1">
      <c r="A31" s="70" t="s">
        <v>106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0"/>
      <c r="N31" s="63"/>
    </row>
    <row r="32" spans="1:15" ht="18.75" customHeight="1">
      <c r="A32" s="70" t="s">
        <v>107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0"/>
      <c r="N32" s="63"/>
    </row>
    <row r="33" spans="1:15" ht="18.75" customHeight="1">
      <c r="A33" s="70" t="s">
        <v>108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0"/>
      <c r="N33" s="63"/>
    </row>
    <row r="34" spans="1:15" ht="18.75" customHeight="1">
      <c r="A34" s="70" t="s">
        <v>109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0"/>
      <c r="N34" s="63"/>
    </row>
    <row r="35" spans="1:15" ht="18.75">
      <c r="A35" s="73" t="s">
        <v>160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161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117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131123.82999999999</v>
      </c>
      <c r="F37" s="94" t="s">
        <v>164</v>
      </c>
      <c r="G37" s="66"/>
      <c r="H37" s="66"/>
      <c r="I37" s="66"/>
      <c r="L37" s="63"/>
      <c r="M37" s="169"/>
      <c r="N37" s="63"/>
      <c r="O37" s="63"/>
    </row>
    <row r="38" spans="1:15" ht="18.75" customHeight="1">
      <c r="A38" s="70" t="s">
        <v>110</v>
      </c>
      <c r="B38" s="78" t="s">
        <v>36</v>
      </c>
      <c r="C38" s="90">
        <v>119747.79</v>
      </c>
      <c r="D38" s="94" t="s">
        <v>162</v>
      </c>
      <c r="E38" s="68"/>
      <c r="G38" s="67"/>
      <c r="H38" s="67"/>
      <c r="L38" s="63"/>
      <c r="M38" s="169"/>
      <c r="N38" s="63"/>
      <c r="O38" s="63"/>
    </row>
    <row r="39" spans="1:15" ht="18.75" customHeight="1">
      <c r="A39" s="70" t="s">
        <v>111</v>
      </c>
      <c r="B39" s="78" t="s">
        <v>37</v>
      </c>
      <c r="C39" s="91">
        <v>57439.040000000001</v>
      </c>
      <c r="D39" s="94" t="s">
        <v>163</v>
      </c>
      <c r="E39" s="68"/>
      <c r="G39" s="67"/>
      <c r="H39" s="67"/>
      <c r="L39" s="63"/>
      <c r="M39" s="169"/>
      <c r="N39" s="63"/>
      <c r="O39" s="63"/>
    </row>
    <row r="40" spans="1:15" ht="18.75" customHeight="1">
      <c r="A40" s="70" t="s">
        <v>112</v>
      </c>
      <c r="B40" s="78" t="s">
        <v>38</v>
      </c>
      <c r="C40" s="93">
        <f>IF(E37-C39&lt;0,0,E37-C39)</f>
        <v>73684.789999999979</v>
      </c>
      <c r="D40" s="80" t="s">
        <v>58</v>
      </c>
      <c r="E40" s="68"/>
      <c r="G40" s="67"/>
      <c r="H40" s="67"/>
      <c r="L40" s="63"/>
      <c r="M40" s="169"/>
      <c r="N40" s="63"/>
      <c r="O40" s="63"/>
    </row>
    <row r="41" spans="1:15" ht="18.75" customHeight="1">
      <c r="A41" s="70" t="s">
        <v>113</v>
      </c>
      <c r="B41" s="78" t="s">
        <v>39</v>
      </c>
      <c r="C41" s="93">
        <f>E37</f>
        <v>131123.82999999999</v>
      </c>
      <c r="D41" s="80" t="s">
        <v>58</v>
      </c>
      <c r="E41" s="68"/>
      <c r="G41" s="67"/>
      <c r="H41" s="67"/>
      <c r="L41" s="63"/>
      <c r="M41" s="169"/>
      <c r="N41" s="63"/>
      <c r="O41" s="63"/>
    </row>
    <row r="42" spans="1:15" ht="18.75" customHeight="1">
      <c r="A42" s="70" t="s">
        <v>114</v>
      </c>
      <c r="B42" s="78" t="s">
        <v>40</v>
      </c>
      <c r="C42" s="93">
        <f>E37</f>
        <v>131123.82999999999</v>
      </c>
      <c r="D42" s="80" t="s">
        <v>58</v>
      </c>
      <c r="E42" s="68"/>
      <c r="G42" s="67"/>
      <c r="H42" s="67"/>
      <c r="L42" s="63"/>
      <c r="M42" s="169"/>
      <c r="N42" s="63"/>
      <c r="O42" s="63"/>
    </row>
    <row r="43" spans="1:15" ht="18.75" customHeight="1">
      <c r="A43" s="70" t="s">
        <v>115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69"/>
      <c r="N43" s="63"/>
      <c r="O43" s="63"/>
    </row>
    <row r="44" spans="1:15" ht="30" customHeight="1">
      <c r="A44" s="70" t="s">
        <v>116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69"/>
      <c r="N44" s="63"/>
      <c r="O44" s="63"/>
    </row>
    <row r="45" spans="1:15" ht="18.75">
      <c r="A45" s="73" t="s">
        <v>118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56030.21</v>
      </c>
      <c r="F45" s="94" t="s">
        <v>164</v>
      </c>
      <c r="G45" s="66"/>
      <c r="H45" s="66"/>
      <c r="L45" s="63"/>
      <c r="M45" s="169"/>
      <c r="N45" s="63"/>
      <c r="O45" s="63"/>
    </row>
    <row r="46" spans="1:15" ht="18.75" customHeight="1">
      <c r="A46" s="73" t="s">
        <v>119</v>
      </c>
      <c r="B46" s="78" t="s">
        <v>36</v>
      </c>
      <c r="C46" s="90">
        <v>4228.7</v>
      </c>
      <c r="D46" s="94" t="s">
        <v>165</v>
      </c>
      <c r="E46" s="68"/>
      <c r="G46" s="67"/>
      <c r="H46" s="67"/>
      <c r="L46" s="63"/>
      <c r="M46" s="169"/>
      <c r="N46" s="63"/>
      <c r="O46" s="63"/>
    </row>
    <row r="47" spans="1:15" ht="18.75" customHeight="1">
      <c r="A47" s="73" t="s">
        <v>120</v>
      </c>
      <c r="B47" s="78" t="s">
        <v>37</v>
      </c>
      <c r="C47" s="91">
        <v>56694.45</v>
      </c>
      <c r="D47" s="94" t="s">
        <v>163</v>
      </c>
      <c r="E47" s="68"/>
      <c r="G47" s="67"/>
      <c r="H47" s="67"/>
      <c r="L47" s="63"/>
      <c r="M47" s="169"/>
      <c r="N47" s="63"/>
      <c r="O47" s="63"/>
    </row>
    <row r="48" spans="1:15" ht="18.75" customHeight="1">
      <c r="A48" s="73" t="s">
        <v>121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69"/>
      <c r="N48" s="63"/>
      <c r="O48" s="63"/>
    </row>
    <row r="49" spans="1:15" ht="18.75" customHeight="1">
      <c r="A49" s="73" t="s">
        <v>122</v>
      </c>
      <c r="B49" s="78" t="s">
        <v>39</v>
      </c>
      <c r="C49" s="93">
        <f>E45</f>
        <v>56030.21</v>
      </c>
      <c r="D49" s="80" t="s">
        <v>58</v>
      </c>
      <c r="E49" s="68"/>
      <c r="G49" s="67"/>
      <c r="H49" s="67"/>
      <c r="L49" s="63"/>
      <c r="M49" s="169"/>
      <c r="N49" s="63"/>
      <c r="O49" s="63"/>
    </row>
    <row r="50" spans="1:15" ht="18.75" customHeight="1">
      <c r="A50" s="73" t="s">
        <v>123</v>
      </c>
      <c r="B50" s="78" t="s">
        <v>40</v>
      </c>
      <c r="C50" s="93">
        <f>E45</f>
        <v>56030.21</v>
      </c>
      <c r="D50" s="80" t="s">
        <v>58</v>
      </c>
      <c r="E50" s="68"/>
      <c r="G50" s="67"/>
      <c r="H50" s="67"/>
      <c r="L50" s="63"/>
      <c r="M50" s="169"/>
      <c r="N50" s="63"/>
      <c r="O50" s="63"/>
    </row>
    <row r="51" spans="1:15" ht="18.75" customHeight="1">
      <c r="A51" s="73" t="s">
        <v>124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69"/>
      <c r="N51" s="63"/>
      <c r="O51" s="63"/>
    </row>
    <row r="52" spans="1:15" ht="29.25" customHeight="1">
      <c r="A52" s="73" t="s">
        <v>125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69"/>
      <c r="N52" s="63"/>
      <c r="O52" s="63"/>
    </row>
    <row r="53" spans="1:15" ht="18.75">
      <c r="A53" s="73" t="s">
        <v>126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99852.19</v>
      </c>
      <c r="F53" s="94" t="s">
        <v>164</v>
      </c>
      <c r="G53" s="66"/>
      <c r="H53" s="66"/>
      <c r="L53" s="63"/>
      <c r="M53" s="169"/>
      <c r="N53" s="63"/>
      <c r="O53" s="63"/>
    </row>
    <row r="54" spans="1:15" ht="18.75" customHeight="1">
      <c r="A54" s="73" t="s">
        <v>127</v>
      </c>
      <c r="B54" s="75" t="s">
        <v>36</v>
      </c>
      <c r="C54" s="98">
        <v>6696.99</v>
      </c>
      <c r="D54" s="94" t="s">
        <v>165</v>
      </c>
      <c r="E54" s="69"/>
      <c r="F54" s="89"/>
      <c r="G54" s="64"/>
      <c r="H54" s="64"/>
      <c r="L54" s="63"/>
      <c r="M54" s="169"/>
      <c r="N54" s="63"/>
      <c r="O54" s="63"/>
    </row>
    <row r="55" spans="1:15" ht="18.75" customHeight="1">
      <c r="A55" s="73" t="s">
        <v>128</v>
      </c>
      <c r="B55" s="75" t="s">
        <v>37</v>
      </c>
      <c r="C55" s="86">
        <v>102148.92</v>
      </c>
      <c r="D55" s="94" t="s">
        <v>163</v>
      </c>
      <c r="E55" s="69"/>
      <c r="G55" s="64"/>
      <c r="H55" s="64"/>
      <c r="L55" s="63"/>
      <c r="M55" s="169"/>
      <c r="N55" s="63"/>
      <c r="O55" s="63"/>
    </row>
    <row r="56" spans="1:15" ht="18.75" customHeight="1">
      <c r="A56" s="73" t="s">
        <v>129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69"/>
      <c r="N56" s="63"/>
      <c r="O56" s="63"/>
    </row>
    <row r="57" spans="1:15" ht="18.75" customHeight="1">
      <c r="A57" s="73" t="s">
        <v>130</v>
      </c>
      <c r="B57" s="75" t="s">
        <v>39</v>
      </c>
      <c r="C57" s="93">
        <f>E53</f>
        <v>99852.19</v>
      </c>
      <c r="D57" s="80" t="s">
        <v>58</v>
      </c>
      <c r="E57" s="69"/>
      <c r="G57" s="64"/>
      <c r="H57" s="64"/>
      <c r="L57" s="63"/>
      <c r="M57" s="169"/>
      <c r="N57" s="63"/>
      <c r="O57" s="63"/>
    </row>
    <row r="58" spans="1:15" ht="18.75" customHeight="1">
      <c r="A58" s="73" t="s">
        <v>131</v>
      </c>
      <c r="B58" s="75" t="s">
        <v>40</v>
      </c>
      <c r="C58" s="93">
        <f>E53</f>
        <v>99852.19</v>
      </c>
      <c r="D58" s="80" t="s">
        <v>58</v>
      </c>
      <c r="E58" s="69"/>
      <c r="G58" s="64"/>
      <c r="H58" s="64"/>
      <c r="L58" s="63"/>
      <c r="M58" s="169"/>
      <c r="N58" s="63"/>
      <c r="O58" s="63"/>
    </row>
    <row r="59" spans="1:15" ht="18.75" customHeight="1">
      <c r="A59" s="73" t="s">
        <v>132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69"/>
      <c r="N59" s="63"/>
      <c r="O59" s="63"/>
    </row>
    <row r="60" spans="1:15" ht="33.75" customHeight="1">
      <c r="A60" s="73" t="s">
        <v>133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69"/>
      <c r="N60" s="63"/>
      <c r="O60" s="63"/>
    </row>
    <row r="61" spans="1:15" ht="15.75">
      <c r="A61" s="73" t="s">
        <v>134</v>
      </c>
      <c r="B61" s="77" t="s">
        <v>75</v>
      </c>
      <c r="C61" s="96">
        <f>IF(E61&gt;0,"Предоставляется",0)</f>
        <v>0</v>
      </c>
      <c r="D61" s="96" t="s">
        <v>54</v>
      </c>
      <c r="E61" s="95"/>
      <c r="F61" s="94" t="s">
        <v>164</v>
      </c>
      <c r="G61" s="66"/>
      <c r="H61" s="66"/>
    </row>
    <row r="62" spans="1:15" ht="15.75" customHeight="1">
      <c r="A62" s="73" t="s">
        <v>135</v>
      </c>
      <c r="B62" s="75" t="s">
        <v>36</v>
      </c>
      <c r="C62" s="98"/>
      <c r="D62" s="94" t="s">
        <v>165</v>
      </c>
      <c r="E62" s="69"/>
      <c r="G62" s="64"/>
      <c r="H62" s="64"/>
    </row>
    <row r="63" spans="1:15" ht="15.75" customHeight="1">
      <c r="A63" s="73" t="s">
        <v>136</v>
      </c>
      <c r="B63" s="75" t="s">
        <v>37</v>
      </c>
      <c r="C63" s="86"/>
      <c r="D63" s="94" t="s">
        <v>163</v>
      </c>
      <c r="E63" s="69"/>
      <c r="G63" s="64"/>
      <c r="H63" s="64"/>
    </row>
    <row r="64" spans="1:15" ht="15.75" customHeight="1">
      <c r="A64" s="73" t="s">
        <v>137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138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139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140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141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142</v>
      </c>
      <c r="B69" s="77" t="s">
        <v>76</v>
      </c>
      <c r="C69" s="96" t="str">
        <f>IF(E69&gt;0,"Предоставляется",0)</f>
        <v>Предоставляется</v>
      </c>
      <c r="D69" s="96" t="s">
        <v>54</v>
      </c>
      <c r="E69" s="95">
        <v>310410.08</v>
      </c>
      <c r="F69" s="94" t="s">
        <v>164</v>
      </c>
      <c r="G69" s="66"/>
      <c r="H69" s="66"/>
    </row>
    <row r="70" spans="1:8" ht="15.75" customHeight="1">
      <c r="A70" s="73" t="s">
        <v>143</v>
      </c>
      <c r="B70" s="75" t="s">
        <v>36</v>
      </c>
      <c r="C70" s="98">
        <v>22291.57</v>
      </c>
      <c r="D70" s="94" t="s">
        <v>165</v>
      </c>
      <c r="E70" s="69"/>
      <c r="G70" s="64"/>
      <c r="H70" s="64"/>
    </row>
    <row r="71" spans="1:8" ht="15.75" customHeight="1">
      <c r="A71" s="73" t="s">
        <v>144</v>
      </c>
      <c r="B71" s="75" t="s">
        <v>37</v>
      </c>
      <c r="C71" s="86">
        <v>285664.44</v>
      </c>
      <c r="D71" s="94" t="s">
        <v>163</v>
      </c>
      <c r="E71" s="69"/>
      <c r="G71" s="64"/>
      <c r="H71" s="64"/>
    </row>
    <row r="72" spans="1:8" ht="15.75" customHeight="1">
      <c r="A72" s="73" t="s">
        <v>145</v>
      </c>
      <c r="B72" s="75" t="s">
        <v>38</v>
      </c>
      <c r="C72" s="93">
        <f>IF(E69-C71&lt;0,0,E69-C71)</f>
        <v>24745.640000000014</v>
      </c>
      <c r="D72" s="80" t="s">
        <v>58</v>
      </c>
      <c r="E72" s="69"/>
      <c r="G72" s="64"/>
      <c r="H72" s="64"/>
    </row>
    <row r="73" spans="1:8" ht="15.75" customHeight="1">
      <c r="A73" s="73" t="s">
        <v>146</v>
      </c>
      <c r="B73" s="75" t="s">
        <v>39</v>
      </c>
      <c r="C73" s="93">
        <f>E69</f>
        <v>310410.08</v>
      </c>
      <c r="D73" s="80" t="s">
        <v>58</v>
      </c>
      <c r="E73" s="69"/>
      <c r="G73" s="64"/>
      <c r="H73" s="64"/>
    </row>
    <row r="74" spans="1:8" ht="15.75" customHeight="1">
      <c r="A74" s="73" t="s">
        <v>147</v>
      </c>
      <c r="B74" s="75" t="s">
        <v>40</v>
      </c>
      <c r="C74" s="93">
        <f>E69</f>
        <v>310410.08</v>
      </c>
      <c r="D74" s="80" t="s">
        <v>58</v>
      </c>
      <c r="E74" s="69"/>
      <c r="G74" s="64"/>
      <c r="H74" s="64"/>
    </row>
    <row r="75" spans="1:8" ht="15.75" customHeight="1">
      <c r="A75" s="73" t="s">
        <v>148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149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150</v>
      </c>
      <c r="B77" s="77" t="s">
        <v>77</v>
      </c>
      <c r="C77" s="96" t="str">
        <f>IF(E77&gt;0,"Предоставляется",0)</f>
        <v>Предоставляется</v>
      </c>
      <c r="D77" s="96" t="s">
        <v>78</v>
      </c>
      <c r="E77" s="95">
        <v>855039.33</v>
      </c>
      <c r="F77" s="94" t="s">
        <v>164</v>
      </c>
      <c r="G77" s="66"/>
      <c r="H77" s="66"/>
    </row>
    <row r="78" spans="1:8" ht="15.75" customHeight="1">
      <c r="A78" s="73" t="s">
        <v>151</v>
      </c>
      <c r="B78" s="75" t="s">
        <v>36</v>
      </c>
      <c r="C78" s="98">
        <v>625.89</v>
      </c>
      <c r="D78" s="94" t="s">
        <v>166</v>
      </c>
      <c r="E78" s="64"/>
      <c r="G78" s="64"/>
      <c r="H78" s="64"/>
    </row>
    <row r="79" spans="1:8" ht="15.75" customHeight="1">
      <c r="A79" s="73" t="s">
        <v>152</v>
      </c>
      <c r="B79" s="75" t="s">
        <v>37</v>
      </c>
      <c r="C79" s="86">
        <v>835000</v>
      </c>
      <c r="D79" s="94" t="s">
        <v>163</v>
      </c>
      <c r="E79" s="64"/>
      <c r="G79" s="64"/>
      <c r="H79" s="64"/>
    </row>
    <row r="80" spans="1:8" ht="15.75" customHeight="1">
      <c r="A80" s="73" t="s">
        <v>153</v>
      </c>
      <c r="B80" s="75" t="s">
        <v>38</v>
      </c>
      <c r="C80" s="93">
        <f>IF(E77-C79&lt;0,0,E77-C79)</f>
        <v>20039.329999999958</v>
      </c>
      <c r="D80" s="80" t="s">
        <v>58</v>
      </c>
      <c r="E80" s="64"/>
      <c r="G80" s="64"/>
      <c r="H80" s="64"/>
    </row>
    <row r="81" spans="1:8" ht="15.75" customHeight="1">
      <c r="A81" s="73" t="s">
        <v>154</v>
      </c>
      <c r="B81" s="75" t="s">
        <v>39</v>
      </c>
      <c r="C81" s="93">
        <f>E77</f>
        <v>855039.33</v>
      </c>
      <c r="D81" s="80" t="s">
        <v>58</v>
      </c>
      <c r="E81" s="64"/>
      <c r="G81" s="64"/>
      <c r="H81" s="64"/>
    </row>
    <row r="82" spans="1:8" ht="15.75" customHeight="1">
      <c r="A82" s="73" t="s">
        <v>155</v>
      </c>
      <c r="B82" s="75" t="s">
        <v>40</v>
      </c>
      <c r="C82" s="93">
        <f>E77</f>
        <v>855039.33</v>
      </c>
      <c r="D82" s="80" t="s">
        <v>58</v>
      </c>
      <c r="E82" s="64"/>
      <c r="G82" s="64"/>
      <c r="H82" s="64"/>
    </row>
    <row r="83" spans="1:8" ht="15.75" customHeight="1">
      <c r="A83" s="73" t="s">
        <v>156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157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20" sqref="A20:I2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167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168</v>
      </c>
      <c r="B3" s="59" t="s">
        <v>45</v>
      </c>
      <c r="C3" s="105">
        <v>0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169</v>
      </c>
      <c r="B4" s="59" t="s">
        <v>46</v>
      </c>
      <c r="C4" s="106">
        <v>0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2020-07-14T02:20:01Z</dcterms:modified>
</cp:coreProperties>
</file>