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v//eZSqLbGa3+4NeG82JuZiUZhhYLDGA7tizW21wa+5a5XimFfBjbDnC6fPi0tTkB/rwqXnODraSUDKsv3JGVA==" workbookSaltValue="P3+4C2B5xMRBbo6efaH96Q==" workbookSpinCount="100000" lockStructure="1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A60" i="1"/>
  <c r="L19" i="2"/>
  <c r="A59" i="1"/>
  <c r="A58" i="1"/>
  <c r="A57" i="1"/>
  <c r="N158" i="1"/>
  <c r="L18" i="2"/>
  <c r="L17" i="2"/>
  <c r="L16" i="2"/>
  <c r="D12" i="2"/>
  <c r="D4" i="2"/>
  <c r="H213" i="1" l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4" i="1"/>
  <c r="G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3" i="1"/>
  <c r="A118" i="1"/>
  <c r="A119" i="1"/>
  <c r="D118" i="1"/>
  <c r="A124" i="1"/>
  <c r="A110" i="1"/>
  <c r="A111" i="1"/>
  <c r="A115" i="1"/>
  <c r="F118" i="1"/>
  <c r="A121" i="1"/>
  <c r="A125" i="1"/>
  <c r="A120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7" i="2"/>
  <c r="O57" i="2"/>
  <c r="N57" i="2"/>
  <c r="M57" i="2"/>
  <c r="P56" i="2"/>
  <c r="O56" i="2"/>
  <c r="N56" i="2"/>
  <c r="M56" i="2"/>
  <c r="P55" i="2"/>
  <c r="O55" i="2"/>
  <c r="N55" i="2"/>
  <c r="M55" i="2"/>
  <c r="P54" i="2"/>
  <c r="O54" i="2"/>
  <c r="N54" i="2"/>
  <c r="M54" i="2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L35" i="2"/>
  <c r="L34" i="2"/>
  <c r="L33" i="2"/>
  <c r="L32" i="2"/>
  <c r="L31" i="2"/>
  <c r="L30" i="2"/>
  <c r="L29" i="2"/>
  <c r="L28" i="2"/>
  <c r="L27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W27" i="1" s="1"/>
  <c r="L26" i="2"/>
  <c r="L25" i="2"/>
  <c r="L24" i="2"/>
  <c r="L23" i="2"/>
  <c r="L22" i="2"/>
  <c r="L21" i="2"/>
  <c r="L20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A184" i="1" l="1"/>
  <c r="I184" i="1" s="1"/>
  <c r="A168" i="1"/>
  <c r="I168" i="1" s="1"/>
  <c r="A181" i="1"/>
  <c r="I181" i="1" s="1"/>
  <c r="A165" i="1"/>
  <c r="I165" i="1" s="1"/>
  <c r="A179" i="1"/>
  <c r="I179" i="1" s="1"/>
  <c r="A178" i="1"/>
  <c r="I178" i="1" s="1"/>
  <c r="A180" i="1"/>
  <c r="I180" i="1" s="1"/>
  <c r="A164" i="1"/>
  <c r="I164" i="1" s="1"/>
  <c r="A177" i="1"/>
  <c r="I177" i="1" s="1"/>
  <c r="A161" i="1"/>
  <c r="A175" i="1"/>
  <c r="I175" i="1" s="1"/>
  <c r="A174" i="1"/>
  <c r="I174" i="1" s="1"/>
  <c r="A176" i="1"/>
  <c r="I176" i="1" s="1"/>
  <c r="A173" i="1"/>
  <c r="I173" i="1" s="1"/>
  <c r="A187" i="1"/>
  <c r="I187" i="1" s="1"/>
  <c r="A171" i="1"/>
  <c r="I171" i="1" s="1"/>
  <c r="A186" i="1"/>
  <c r="I186" i="1" s="1"/>
  <c r="A170" i="1"/>
  <c r="I170" i="1" s="1"/>
  <c r="A172" i="1"/>
  <c r="I172" i="1" s="1"/>
  <c r="A185" i="1"/>
  <c r="I185" i="1" s="1"/>
  <c r="A169" i="1"/>
  <c r="I169" i="1" s="1"/>
  <c r="A183" i="1"/>
  <c r="I183" i="1" s="1"/>
  <c r="A167" i="1"/>
  <c r="I167" i="1" s="1"/>
  <c r="A182" i="1"/>
  <c r="I182" i="1" s="1"/>
  <c r="A166" i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<sst xmlns="http://schemas.openxmlformats.org/spreadsheetml/2006/main" count="589" uniqueCount="228">
  <si>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</si>
  <si>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</si>
  <si>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</si>
  <si>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</si>
  <si>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</si>
  <si>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</si>
  <si>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</si>
  <si>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</si>
  <si>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</si>
  <si>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</si>
  <si>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</si>
  <si>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</si>
  <si>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</si>
  <si>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</si>
  <si>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</si>
  <si>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</si>
  <si>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</si>
  <si>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</si>
  <si>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</si>
  <si>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</si>
  <si>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</si>
  <si>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</si>
  <si>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</si>
  <si>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</si>
  <si>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</si>
  <si>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</si>
  <si>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</si>
  <si>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</si>
  <si>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</si>
  <si>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</si>
  <si>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</si>
  <si>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</si>
  <si>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</si>
  <si>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</si>
  <si>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</si>
  <si>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</si>
  <si>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</si>
  <si>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</si>
  <si>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</si>
  <si>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</si>
  <si>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</si>
  <si>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</si>
  <si>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</si>
  <si>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</si>
  <si>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</si>
  <si>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</si>
  <si>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</si>
  <si>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</si>
  <si>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</si>
  <si>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</si>
  <si>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</si>
  <si>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</si>
  <si>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</si>
  <si>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</si>
  <si>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</si>
  <si>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</si>
  <si>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</si>
  <si>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</si>
  <si>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</si>
  <si>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</si>
  <si>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</si>
  <si>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</si>
  <si>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</si>
  <si>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</si>
  <si>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</si>
  <si>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</si>
  <si>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</si>
  <si>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</si>
  <si>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</si>
  <si>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</si>
  <si>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</si>
  <si>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</si>
  <si>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</si>
  <si>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</si>
  <si>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</si>
  <si>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</si>
  <si>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</si>
  <si>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</si>
  <si>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</si>
  <si>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</si>
  <si>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</si>
  <si>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</si>
  <si>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</si>
  <si>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</si>
  <si>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</si>
  <si>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</si>
  <si>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</si>
  <si>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</si>
  <si>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</si>
  <si>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</si>
  <si>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</si>
  <si>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</si>
  <si>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</si>
  <si>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</si>
  <si>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</si>
  <si>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</si>
  <si>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</si>
  <si>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</si>
  <si>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</si>
  <si>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</si>
  <si>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</si>
  <si>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</si>
  <si>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</si>
  <si>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</si>
  <si>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</si>
  <si>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</si>
  <si>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</si>
  <si>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</si>
  <si>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</si>
  <si>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</si>
  <si>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</si>
  <si>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</si>
  <si>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</si>
  <si>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</si>
  <si>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</si>
  <si>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</si>
  <si>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</si>
  <si>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</si>
  <si>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</si>
  <si>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</si>
  <si>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</si>
  <si>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</si>
  <si>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</si>
  <si>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</si>
  <si>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</si>
  <si>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</si>
  <si>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</si>
  <si>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</si>
  <si>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</si>
  <si>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</si>
  <si>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</si>
  <si>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</si>
  <si>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</si>
  <si>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</si>
  <si>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</si>
  <si>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</si>
  <si>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</si>
  <si>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</si>
  <si>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</si>
  <si>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</si>
  <si>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</si>
  <si>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</si>
  <si>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</si>
  <si>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</si>
  <si>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</si>
  <si>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</si>
  <si>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</si>
  <si>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</si>
  <si>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</si>
  <si>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</si>
  <si>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</si>
  <si>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</si>
  <si>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</si>
  <si>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</si>
  <si>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</si>
  <si>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</si>
  <si>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</si>
  <si>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</si>
  <si>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</si>
  <si>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</si>
  <si>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</si>
  <si>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</si>
  <si>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</si>
  <si>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</si>
  <si>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</si>
  <si>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</si>
  <si>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</si>
  <si>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</si>
  <si>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</si>
  <si>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</si>
  <si>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</si>
  <si>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</si>
  <si>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</si>
  <si>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</si>
  <si>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</si>
  <si>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</si>
  <si>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12/2</t>
  </si>
  <si>
    <t>Отчет об исполнении договора управления многоквартирного дома 
Юрия Тена, 12/2 в части текущего ремонта</t>
  </si>
  <si>
    <t>Техническое обслуживание охранной сигнализации.</t>
  </si>
  <si>
    <t>Вывоз снега с придомовой территории.</t>
  </si>
  <si>
    <t>ежегодно</t>
  </si>
  <si>
    <t>ежемесячно</t>
  </si>
  <si>
    <t>разово</t>
  </si>
  <si>
    <t>площадь дома</t>
  </si>
  <si>
    <t xml:space="preserve"> - техническое освидетельствование лифта</t>
  </si>
  <si>
    <t xml:space="preserve"> - тех. обслуживание охранной сигнализации</t>
  </si>
  <si>
    <t xml:space="preserve"> - поверка (замена) манометров и термометров</t>
  </si>
  <si>
    <t xml:space="preserve"> - работы по выбору (решению) общего собрания или совета дома</t>
  </si>
  <si>
    <t>Работы по обеспечению вывоза бытовых отходов</t>
  </si>
  <si>
    <t>Ежедневно</t>
  </si>
  <si>
    <t>Перерасход (+) или экономия 
(-) средств в 2016 году (руб.)</t>
  </si>
  <si>
    <t>Начислено за  текущий ремонт в 2017 году (руб.):</t>
  </si>
  <si>
    <t>Итого выполнено работ в 2017 года (руб.):</t>
  </si>
  <si>
    <t>Перерасход (+) или экономия 
(-) средств по состоянию на 31 декабря 2017 года (руб.):</t>
  </si>
  <si>
    <t>В 2018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</si>
  <si>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- обслуживание ТП и кабельных линий</t>
  </si>
  <si>
    <t xml:space="preserve"> - передача бесхозных инженерных сетей</t>
  </si>
  <si>
    <t xml:space="preserve"> - непредвиденные затраты (компенсаторы, арматура, эл.арматура, замки и т.д.)</t>
  </si>
  <si>
    <t>Монтаж системы видеонаблюдения.</t>
  </si>
  <si>
    <t>Приобретение и установка информационного стенда.</t>
  </si>
  <si>
    <t>Изготовление и монтаж металлической двери.</t>
  </si>
  <si>
    <t>Генеральная уборка подъезда в мае.</t>
  </si>
  <si>
    <t>Установка манометров МП 10 в тепловом пункте.</t>
  </si>
  <si>
    <t>Изготовление и монтаж табличек "Выгул собак запрещен".</t>
  </si>
  <si>
    <t>Установка светодиодного светильника.</t>
  </si>
  <si>
    <t>Приобретение и установка парковочных столбиков возле подъезда.</t>
  </si>
  <si>
    <t>Замена блока управления домофоном.</t>
  </si>
  <si>
    <t>Благоустройство территории (посадка цветов).</t>
  </si>
  <si>
    <t>Изготовление и монтаж решетчатой двери.</t>
  </si>
  <si>
    <t>Генеральная уборка подъезда в октябре.</t>
  </si>
  <si>
    <t>Установка и приобретение дорожных знаков.</t>
  </si>
  <si>
    <t>Прочистка канализационной сети.</t>
  </si>
  <si>
    <t>Установка гирлянд над подъездом.</t>
  </si>
  <si>
    <t>АВР от 14.03.2017</t>
  </si>
  <si>
    <t>Решение, АВР от 29.03.2017</t>
  </si>
  <si>
    <t>АВР от 20.01.2017, Решение, Счет №211 от 27.10.2016</t>
  </si>
  <si>
    <t>АВР от 23.05.2017</t>
  </si>
  <si>
    <t>АВР от 06.06.2017</t>
  </si>
  <si>
    <t>АВР от 01.06.2017</t>
  </si>
  <si>
    <t>Решение</t>
  </si>
  <si>
    <t>АВР от 10.07.2017,Решение, Счет №979 от 19.06.2017</t>
  </si>
  <si>
    <t>АВР от 15.01.2017,Счет №96 от 31.05.2017</t>
  </si>
  <si>
    <t>АВР от 07.06.2017</t>
  </si>
  <si>
    <t>АВР от 08.12.2017, Решение , Счет № 129 от 03.11.2017</t>
  </si>
  <si>
    <t>АВР от 19.10.2017</t>
  </si>
  <si>
    <t>АВР от 08.12.2017</t>
  </si>
  <si>
    <t>АВР от 14.12.2017</t>
  </si>
  <si>
    <t>АВР от 07.03.2017, АВР от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</si>
</sst>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8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4" fillId="0" borderId="0" xfId="5" applyFill="1" applyBorder="1" applyAlignment="1">
      <alignment horizontal="center"/>
    </xf>
    <xf numFmtId="0" fontId="4" fillId="0" borderId="0" xfId="5" applyBorder="1" applyAlignment="1">
      <alignment horizontal="center" vertical="center"/>
    </xf>
    <xf numFmtId="0" fontId="4" fillId="0" borderId="0" xfId="5" applyBorder="1" applyAlignment="1">
      <alignment horizontal="center"/>
    </xf>
    <xf numFmtId="0" fontId="3" fillId="0" borderId="0" xfId="14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0" borderId="6" xfId="0" applyNumberFormat="1" applyFont="1" applyFill="1" applyBorder="1" applyAlignment="1"/>
    <xf numFmtId="4" fontId="0" fillId="0" borderId="6" xfId="0" applyNumberFormat="1" applyBorder="1" applyAlignment="1"/>
    <xf numFmtId="4" fontId="0" fillId="0" borderId="6" xfId="0" applyNumberFormat="1" applyFill="1" applyBorder="1" applyAlignment="1"/>
    <xf numFmtId="4" fontId="0" fillId="0" borderId="6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8" xfId="0" applyBorder="1" applyAlignment="1"/>
    <xf numFmtId="0" fontId="18" fillId="0" borderId="0" xfId="0" applyFont="1" applyFill="1" applyBorder="1" applyAlignment="1"/>
    <xf numFmtId="0" fontId="28" fillId="0" borderId="0" xfId="0" applyFont="1" applyFill="1" applyBorder="1" applyAlignment="1"/>
    <xf numFmtId="0" fontId="18" fillId="6" borderId="0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6" borderId="0" xfId="0" applyFill="1"/>
    <xf numFmtId="4" fontId="0" fillId="0" borderId="11" xfId="0" applyNumberFormat="1" applyBorder="1" applyAlignment="1"/>
    <xf numFmtId="4" fontId="0" fillId="6" borderId="6" xfId="0" applyNumberFormat="1" applyFill="1" applyBorder="1" applyAlignment="1"/>
    <xf numFmtId="4" fontId="18" fillId="0" borderId="12" xfId="0" applyNumberFormat="1" applyFont="1" applyFill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11"/>
    <cellStyle name="Обычный 2 4" xfId="6"/>
    <cellStyle name="Обычный 3" xfId="2"/>
    <cellStyle name="Обычный 3 2" xfId="12"/>
    <cellStyle name="Обычный 3 3" xfId="7"/>
    <cellStyle name="Обычный 4" xfId="4"/>
    <cellStyle name="Обычный 4 2" xfId="13"/>
    <cellStyle name="Обычный 4 3" xfId="8"/>
    <cellStyle name="Обычный 5" xfId="5"/>
    <cellStyle name="Обычный 5 2" xfId="14"/>
    <cellStyle name="Обычный 5 3" xfId="9"/>
    <cellStyle name="Обычный 6" xfId="10"/>
    <cellStyle name="Обычный 7" xfId="15"/>
    <cellStyle name="Обычный 8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C19" zoomScaleNormal="100" zoomScaleSheetLayoutView="100" workbookViewId="0">
      <selection activeCell="U91" sqref="U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6" width="9.140625" style="1" hidden="1" customWidth="1"/>
    <col min="17" max="17" width="9.140625" style="1" customWidth="1"/>
    <col min="18" max="18" width="14.42578125" style="1" customWidth="1"/>
    <col min="19" max="19" width="9.140625" style="1" customWidth="1"/>
    <col min="20" max="22" width="9.140625" style="1"/>
    <col min="23" max="23" width="15.42578125" style="1" hidden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3" t="s">
        <v>176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42736</v>
      </c>
      <c r="K4" s="109"/>
      <c r="L4" s="109"/>
      <c r="M4" s="109"/>
      <c r="N4" s="109"/>
    </row>
    <row r="5" spans="1:18">
      <c r="A5" s="1" t="s">
        <v>1</v>
      </c>
      <c r="E5" s="116">
        <v>43100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4"/>
      <c r="M8" s="109"/>
      <c r="N8" s="109"/>
      <c r="O8" s="70" t="s">
        <v>81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4"/>
      <c r="M9" s="109"/>
      <c r="N9" s="109"/>
      <c r="O9" s="70" t="s">
        <v>82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288120.52</v>
      </c>
      <c r="K10" s="109"/>
      <c r="L10" s="174"/>
      <c r="M10" s="109"/>
      <c r="N10" s="109"/>
      <c r="O10" s="70" t="s">
        <v>83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849559.56</v>
      </c>
      <c r="K11" s="109"/>
      <c r="L11" s="174"/>
      <c r="M11" s="109"/>
      <c r="N11" s="109"/>
      <c r="O11" s="70" t="s">
        <v>84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704316.36</v>
      </c>
      <c r="K12" s="109"/>
      <c r="L12" s="174"/>
      <c r="M12" s="109"/>
      <c r="N12" s="109"/>
      <c r="O12" s="70" t="s">
        <v>85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145243.20000000001</v>
      </c>
      <c r="K13" s="109"/>
      <c r="L13" s="174"/>
      <c r="M13" s="109"/>
      <c r="N13" s="109"/>
      <c r="O13" s="70" t="s">
        <v>86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09"/>
      <c r="L14" s="174"/>
      <c r="M14" s="109"/>
      <c r="N14" s="109"/>
      <c r="O14" s="70" t="s">
        <v>87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772521.57</v>
      </c>
      <c r="K15" s="109"/>
      <c r="L15" s="174"/>
      <c r="M15" s="109"/>
      <c r="N15" s="109"/>
      <c r="O15" s="70" t="s">
        <v>88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772521.57</v>
      </c>
      <c r="K16" s="109"/>
      <c r="L16" s="174"/>
      <c r="M16" s="109"/>
      <c r="N16" s="109"/>
      <c r="O16" s="70" t="s">
        <v>89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4"/>
      <c r="M17" s="109"/>
      <c r="N17" s="109"/>
      <c r="O17" s="70" t="s">
        <v>90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4"/>
      <c r="M18" s="109"/>
      <c r="N18" s="109"/>
      <c r="O18" s="70" t="s">
        <v>91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4"/>
      <c r="M19" s="109"/>
      <c r="N19" s="109"/>
      <c r="O19" s="70" t="s">
        <v>92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4"/>
      <c r="M20" s="109"/>
      <c r="N20" s="109"/>
      <c r="O20" s="70" t="s">
        <v>93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772521.57</v>
      </c>
      <c r="K21" s="109"/>
      <c r="L21" s="174"/>
      <c r="M21" s="109"/>
      <c r="N21" s="109"/>
      <c r="O21" s="70" t="s">
        <v>94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4"/>
      <c r="M22" s="109"/>
      <c r="N22" s="109"/>
      <c r="O22" s="70" t="s">
        <v>95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4"/>
      <c r="M23" s="109"/>
      <c r="N23" s="109"/>
      <c r="O23" s="70" t="s">
        <v>96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365158.51000000013</v>
      </c>
      <c r="K24" s="109"/>
      <c r="L24" s="174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09"/>
      <c r="L27" s="175"/>
      <c r="M27" s="109"/>
      <c r="N27" s="109"/>
      <c r="W27" s="1" t="e">
        <f>INDEX(ПТО!$A$43:$B$57,SMALL(IF(ПТО!$L$43=ПТО!L43:L57,ROW(ПТО!$A$43:$B$57)-32,""),ROW()-27))</f>
        <v>#VALUE!</v>
      </c>
    </row>
    <row r="28" spans="1:23" ht="43.5" customHeight="1" outlineLevel="1">
      <c r="A28" s="151" t="str">
        <f>ПТО!A43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VLOOKUP(A28,ПТО!$A$43:$D$57,2,FALSE)</f>
        <v>79157.52</v>
      </c>
      <c r="G28" s="152"/>
      <c r="H28" s="6" t="str">
        <f>VLOOKUP(A28,ПТО!$A$43:$D$57,3,FALSE)</f>
        <v>Ежемесячно</v>
      </c>
      <c r="I28" s="153">
        <f>VLOOKUP(A28,ПТО!$A$43:$D$57,4,FALSE)</f>
        <v>12</v>
      </c>
      <c r="J28" s="153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ПТО!A44</f>
        <v>Работы по содержанию лифта (лифтов)</v>
      </c>
      <c r="B29" s="151"/>
      <c r="C29" s="151"/>
      <c r="D29" s="151"/>
      <c r="E29" s="151"/>
      <c r="F29" s="152">
        <f>VLOOKUP(A29,ПТО!$A$43:$D$57,2,FALSE)</f>
        <v>54103.08</v>
      </c>
      <c r="G29" s="152"/>
      <c r="H29" s="42" t="str">
        <f>VLOOKUP(A29,ПТО!$A$43:$D$57,3,FALSE)</f>
        <v>Ежемесячно</v>
      </c>
      <c r="I29" s="153">
        <f>VLOOKUP(A29,ПТО!$A$43:$D$57,4,FALSE)</f>
        <v>12</v>
      </c>
      <c r="J29" s="153"/>
      <c r="K29" s="109"/>
      <c r="L29" s="17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1" t="str">
        <f>ПТО!A45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VLOOKUP(A30,ПТО!$A$43:$D$57,2,FALSE)</f>
        <v>95497.44</v>
      </c>
      <c r="G30" s="152"/>
      <c r="H30" s="42" t="str">
        <f>VLOOKUP(A30,ПТО!$A$43:$D$57,3,FALSE)</f>
        <v>В соответствии с графиком</v>
      </c>
      <c r="I30" s="153">
        <f>VLOOKUP(A30,ПТО!$A$43:$D$57,4,FALSE)</f>
        <v>12</v>
      </c>
      <c r="J30" s="153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ПТО!A46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VLOOKUP(A31,ПТО!$A$43:$D$57,2,FALSE)</f>
        <v>42846.720000000001</v>
      </c>
      <c r="G31" s="152"/>
      <c r="H31" s="42" t="str">
        <f>VLOOKUP(A31,ПТО!$A$43:$D$57,3,FALSE)</f>
        <v>Ежемесячно</v>
      </c>
      <c r="I31" s="153">
        <f>VLOOKUP(A31,ПТО!$A$43:$D$57,4,FALSE)</f>
        <v>12</v>
      </c>
      <c r="J31" s="153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ПТО!A47</f>
        <v>0</v>
      </c>
      <c r="B32" s="151"/>
      <c r="C32" s="151"/>
      <c r="D32" s="151"/>
      <c r="E32" s="151"/>
      <c r="F32" s="152" t="e">
        <f>VLOOKUP(A32,ПТО!$A$43:$D$57,2,FALSE)</f>
        <v>#N/A</v>
      </c>
      <c r="G32" s="152"/>
      <c r="H32" s="42" t="e">
        <f>VLOOKUP(A32,ПТО!$A$43:$D$57,3,FALSE)</f>
        <v>#N/A</v>
      </c>
      <c r="I32" s="153" t="e">
        <f>VLOOKUP(A32,ПТО!$A$43:$D$57,4,FALSE)</f>
        <v>#N/A</v>
      </c>
      <c r="J32" s="153"/>
      <c r="K32" s="109"/>
      <c r="L32" s="17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ПТО!A48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VLOOKUP(A33,ПТО!$A$43:$D$57,2,FALSE)</f>
        <v>38489.4</v>
      </c>
      <c r="G33" s="152"/>
      <c r="H33" s="42" t="str">
        <f>VLOOKUP(A33,ПТО!$A$43:$D$57,3,FALSE)</f>
        <v>Круглосуточно</v>
      </c>
      <c r="I33" s="153">
        <f>VLOOKUP(A33,ПТО!$A$43:$D$57,4,FALSE)</f>
        <v>12</v>
      </c>
      <c r="J33" s="153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ПТО!A49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VLOOKUP(A34,ПТО!$A$43:$D$57,2,FALSE)</f>
        <v>134349.96</v>
      </c>
      <c r="G34" s="152"/>
      <c r="H34" s="42" t="str">
        <f>VLOOKUP(A34,ПТО!$A$43:$D$57,3,FALSE)</f>
        <v>В соответствии с графиком</v>
      </c>
      <c r="I34" s="153">
        <f>VLOOKUP(A34,ПТО!$A$43:$D$57,4,FALSE)</f>
        <v>12</v>
      </c>
      <c r="J34" s="153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ПТО!A50</f>
        <v>Работы (услуги) по управлению многоквартирным домом</v>
      </c>
      <c r="B35" s="151"/>
      <c r="C35" s="151"/>
      <c r="D35" s="151"/>
      <c r="E35" s="151"/>
      <c r="F35" s="152">
        <f>VLOOKUP(A35,ПТО!$A$43:$D$57,2,FALSE)</f>
        <v>181554</v>
      </c>
      <c r="G35" s="152"/>
      <c r="H35" s="42" t="str">
        <f>VLOOKUP(A35,ПТО!$A$43:$D$57,3,FALSE)</f>
        <v>Ежемесячно</v>
      </c>
      <c r="I35" s="153">
        <f>VLOOKUP(A35,ПТО!$A$43:$D$57,4,FALSE)</f>
        <v>12</v>
      </c>
      <c r="J35" s="153"/>
      <c r="K35" s="109"/>
      <c r="L35" s="175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51" t="str">
        <f>ПТО!A51</f>
        <v>Работы по обеспечению вывоза бытовых отходов</v>
      </c>
      <c r="B36" s="151"/>
      <c r="C36" s="151"/>
      <c r="D36" s="151"/>
      <c r="E36" s="151"/>
      <c r="F36" s="152">
        <f>VLOOKUP(A36,ПТО!$A$43:$D$57,2,FALSE)</f>
        <v>54466.2</v>
      </c>
      <c r="G36" s="152"/>
      <c r="H36" s="42" t="str">
        <f>VLOOKUP(A36,ПТО!$A$43:$D$57,3,FALSE)</f>
        <v>Ежедневно</v>
      </c>
      <c r="I36" s="153">
        <f>VLOOKUP(A36,ПТО!$A$43:$D$57,4,FALSE)</f>
        <v>12</v>
      </c>
      <c r="J36" s="153"/>
      <c r="K36" s="109"/>
      <c r="L36" s="175"/>
      <c r="M36" s="115"/>
      <c r="N36" s="109"/>
      <c r="O36" s="23" t="str">
        <f t="shared" si="1"/>
        <v>Работы по обеспечению вывоза бытовых отходов</v>
      </c>
      <c r="R36" s="1" t="s">
        <v>71</v>
      </c>
    </row>
    <row r="37" spans="1:18" ht="51" hidden="1" customHeight="1" outlineLevel="1">
      <c r="A37" s="151">
        <f>ПТО!A52</f>
        <v>0</v>
      </c>
      <c r="B37" s="151"/>
      <c r="C37" s="151"/>
      <c r="D37" s="151"/>
      <c r="E37" s="151"/>
      <c r="F37" s="152" t="e">
        <f>VLOOKUP(A37,ПТО!$A$43:$D$57,2,FALSE)</f>
        <v>#N/A</v>
      </c>
      <c r="G37" s="152"/>
      <c r="H37" s="42" t="e">
        <f>VLOOKUP(A37,ПТО!$A$43:$D$57,3,FALSE)</f>
        <v>#N/A</v>
      </c>
      <c r="I37" s="153" t="e">
        <f>VLOOKUP(A37,ПТО!$A$43:$D$57,4,FALSE)</f>
        <v>#N/A</v>
      </c>
      <c r="J37" s="153"/>
      <c r="K37" s="109"/>
      <c r="L37" s="17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ПТО!A53</f>
        <v>0</v>
      </c>
      <c r="B38" s="151"/>
      <c r="C38" s="151"/>
      <c r="D38" s="151"/>
      <c r="E38" s="151"/>
      <c r="F38" s="152" t="e">
        <f>VLOOKUP(A38,ПТО!$A$43:$D$57,2,FALSE)</f>
        <v>#N/A</v>
      </c>
      <c r="G38" s="152"/>
      <c r="H38" s="42" t="e">
        <f>VLOOKUP(A38,ПТО!$A$43:$D$57,3,FALSE)</f>
        <v>#N/A</v>
      </c>
      <c r="I38" s="153" t="e">
        <f>VLOOKUP(A38,ПТО!$A$43:$D$57,4,FALSE)</f>
        <v>#N/A</v>
      </c>
      <c r="J38" s="153"/>
      <c r="K38" s="109"/>
      <c r="L38" s="17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ПТО!A54</f>
        <v>0</v>
      </c>
      <c r="B39" s="151"/>
      <c r="C39" s="151"/>
      <c r="D39" s="151"/>
      <c r="E39" s="151"/>
      <c r="F39" s="152" t="e">
        <f>VLOOKUP(A39,ПТО!$A$43:$D$57,2,FALSE)</f>
        <v>#N/A</v>
      </c>
      <c r="G39" s="152"/>
      <c r="H39" s="42" t="e">
        <f>VLOOKUP(A39,ПТО!$A$43:$D$57,3,FALSE)</f>
        <v>#N/A</v>
      </c>
      <c r="I39" s="153" t="e">
        <f>VLOOKUP(A39,ПТО!$A$43:$D$57,4,FALSE)</f>
        <v>#N/A</v>
      </c>
      <c r="J39" s="153"/>
      <c r="K39" s="109"/>
      <c r="L39" s="17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ПТО!A55</f>
        <v>0</v>
      </c>
      <c r="B40" s="151"/>
      <c r="C40" s="151"/>
      <c r="D40" s="151"/>
      <c r="E40" s="151"/>
      <c r="F40" s="152" t="e">
        <f>VLOOKUP(A40,ПТО!$A$43:$D$57,2,FALSE)</f>
        <v>#N/A</v>
      </c>
      <c r="G40" s="152"/>
      <c r="H40" s="42" t="e">
        <f>VLOOKUP(A40,ПТО!$A$43:$D$57,3,FALSE)</f>
        <v>#N/A</v>
      </c>
      <c r="I40" s="153" t="e">
        <f>VLOOKUP(A40,ПТО!$A$43:$D$57,4,FALSE)</f>
        <v>#N/A</v>
      </c>
      <c r="J40" s="153"/>
      <c r="K40" s="109"/>
      <c r="L40" s="17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ПТО!A56</f>
        <v>0</v>
      </c>
      <c r="B41" s="151"/>
      <c r="C41" s="151"/>
      <c r="D41" s="151"/>
      <c r="E41" s="151"/>
      <c r="F41" s="152" t="e">
        <f>VLOOKUP(A41,ПТО!$A$43:$D$57,2,FALSE)</f>
        <v>#N/A</v>
      </c>
      <c r="G41" s="152"/>
      <c r="H41" s="42" t="e">
        <f>VLOOKUP(A41,ПТО!$A$43:$D$57,3,FALSE)</f>
        <v>#N/A</v>
      </c>
      <c r="I41" s="153" t="e">
        <f>VLOOKUP(A41,ПТО!$A$43:$D$57,4,FALSE)</f>
        <v>#N/A</v>
      </c>
      <c r="J41" s="153"/>
      <c r="K41" s="109"/>
      <c r="L41" s="17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ПТО!A57</f>
        <v>0</v>
      </c>
      <c r="B42" s="151"/>
      <c r="C42" s="151"/>
      <c r="D42" s="151"/>
      <c r="E42" s="151"/>
      <c r="F42" s="152" t="e">
        <f>VLOOKUP(A42,ПТО!$A$43:$D$57,2,FALSE)</f>
        <v>#N/A</v>
      </c>
      <c r="G42" s="152"/>
      <c r="H42" s="42" t="e">
        <f>VLOOKUP(A42,ПТО!$A$43:$D$57,3,FALSE)</f>
        <v>#N/A</v>
      </c>
      <c r="I42" s="153" t="e">
        <f>VLOOKUP(A42,ПТО!$A$43:$D$57,4,FALSE)</f>
        <v>#N/A</v>
      </c>
      <c r="J42" s="153"/>
      <c r="K42" s="109"/>
      <c r="L42" s="17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Монтаж системы видеонаблюдения.</v>
      </c>
      <c r="B43" s="151"/>
      <c r="C43" s="151"/>
      <c r="D43" s="151"/>
      <c r="E43" s="151"/>
      <c r="F43" s="152">
        <f>VLOOKUP(A43,ПТО!$A$2:$D$35,4,FALSE)</f>
        <v>29431</v>
      </c>
      <c r="G43" s="152"/>
      <c r="H43" s="19" t="str">
        <f>VLOOKUP(A43,ПТО!$A$2:$D$35,2,FALSE)</f>
        <v>ежегодно</v>
      </c>
      <c r="I43" s="153">
        <f>VLOOKUP(A43,ПТО!$A$2:$D$35,3,FALSE)</f>
        <v>1</v>
      </c>
      <c r="J43" s="153"/>
      <c r="K43" s="109"/>
      <c r="L43" s="175"/>
      <c r="M43" s="115"/>
      <c r="N43" s="109"/>
      <c r="O43" s="23" t="str">
        <f t="shared" si="1"/>
        <v>Монтаж системы видеонаблюдения.</v>
      </c>
      <c r="R43" s="22" t="s">
        <v>72</v>
      </c>
    </row>
    <row r="44" spans="1:18" ht="51" customHeight="1" outlineLevel="1">
      <c r="A44" s="151" t="str">
        <f>ПТО!A3</f>
        <v>Техническое освидетельствование лифта.</v>
      </c>
      <c r="B44" s="151"/>
      <c r="C44" s="151"/>
      <c r="D44" s="151"/>
      <c r="E44" s="151"/>
      <c r="F44" s="152">
        <f>VLOOKUP(A44,ПТО!$A$2:$D$35,4,FALSE)</f>
        <v>8100</v>
      </c>
      <c r="G44" s="152"/>
      <c r="H44" s="25" t="str">
        <f>VLOOKUP(A44,ПТО!$A$2:$D$35,2,FALSE)</f>
        <v>ежемесячно</v>
      </c>
      <c r="I44" s="153">
        <f>VLOOKUP(A44,ПТО!$A$2:$D$35,3,FALSE)</f>
        <v>1</v>
      </c>
      <c r="J44" s="153"/>
      <c r="K44" s="109"/>
      <c r="L44" s="175"/>
      <c r="M44" s="115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51" t="str">
        <f>ПТО!A4</f>
        <v>Техническое обслуживание охранной сигнализации.</v>
      </c>
      <c r="B45" s="151"/>
      <c r="C45" s="151"/>
      <c r="D45" s="151"/>
      <c r="E45" s="151"/>
      <c r="F45" s="152">
        <f>VLOOKUP(A45,ПТО!$A$2:$D$35,4,FALSE)</f>
        <v>12000</v>
      </c>
      <c r="G45" s="152"/>
      <c r="H45" s="25" t="str">
        <f>VLOOKUP(A45,ПТО!$A$2:$D$35,2,FALSE)</f>
        <v>разово</v>
      </c>
      <c r="I45" s="153">
        <f>VLOOKUP(A45,ПТО!$A$2:$D$35,3,FALSE)</f>
        <v>12</v>
      </c>
      <c r="J45" s="153"/>
      <c r="K45" s="109"/>
      <c r="L45" s="175"/>
      <c r="M45" s="115"/>
      <c r="N45" s="109"/>
      <c r="O45" s="23" t="str">
        <f t="shared" si="1"/>
        <v>Техническое обслуживание охранной сигнализации.</v>
      </c>
      <c r="R45" s="22" t="s">
        <v>72</v>
      </c>
    </row>
    <row r="46" spans="1:18" ht="51" customHeight="1" outlineLevel="1">
      <c r="A46" s="151" t="str">
        <f>ПТО!A5</f>
        <v>Приобретение и установка информационного стенда.</v>
      </c>
      <c r="B46" s="151"/>
      <c r="C46" s="151"/>
      <c r="D46" s="151"/>
      <c r="E46" s="151"/>
      <c r="F46" s="152">
        <f>VLOOKUP(A46,ПТО!$A$2:$D$35,4,FALSE)</f>
        <v>7108</v>
      </c>
      <c r="G46" s="152"/>
      <c r="H46" s="25">
        <f>VLOOKUP(A46,ПТО!$A$2:$D$35,2,FALSE)</f>
        <v>0</v>
      </c>
      <c r="I46" s="153">
        <f>VLOOKUP(A46,ПТО!$A$2:$D$35,3,FALSE)</f>
        <v>1</v>
      </c>
      <c r="J46" s="153"/>
      <c r="K46" s="109"/>
      <c r="L46" s="175"/>
      <c r="M46" s="115"/>
      <c r="N46" s="109"/>
      <c r="O46" s="23" t="str">
        <f t="shared" si="1"/>
        <v>Приобретение и установка информационного стенда.</v>
      </c>
      <c r="R46" s="22" t="s">
        <v>72</v>
      </c>
    </row>
    <row r="47" spans="1:18" ht="51" customHeight="1" outlineLevel="1">
      <c r="A47" s="151" t="str">
        <f>ПТО!A6</f>
        <v>Вывоз снега с придомовой территории.</v>
      </c>
      <c r="B47" s="151"/>
      <c r="C47" s="151"/>
      <c r="D47" s="151"/>
      <c r="E47" s="151"/>
      <c r="F47" s="152">
        <f>VLOOKUP(A47,ПТО!$A$2:$D$35,4,FALSE)</f>
        <v>11400</v>
      </c>
      <c r="G47" s="152"/>
      <c r="H47" s="25" t="str">
        <f>VLOOKUP(A47,ПТО!$A$2:$D$35,2,FALSE)</f>
        <v>разово</v>
      </c>
      <c r="I47" s="153">
        <f>VLOOKUP(A47,ПТО!$A$2:$D$35,3,FALSE)</f>
        <v>5</v>
      </c>
      <c r="J47" s="153"/>
      <c r="K47" s="109"/>
      <c r="L47" s="175"/>
      <c r="M47" s="115"/>
      <c r="N47" s="109"/>
      <c r="O47" s="23" t="str">
        <f t="shared" si="1"/>
        <v>Вывоз снега с придомовой территории.</v>
      </c>
      <c r="R47" s="22" t="s">
        <v>72</v>
      </c>
    </row>
    <row r="48" spans="1:18" ht="51" customHeight="1" outlineLevel="1">
      <c r="A48" s="151" t="str">
        <f>ПТО!A7</f>
        <v>Изготовление и монтаж металлической двери.</v>
      </c>
      <c r="B48" s="151"/>
      <c r="C48" s="151"/>
      <c r="D48" s="151"/>
      <c r="E48" s="151"/>
      <c r="F48" s="152">
        <f>VLOOKUP(A48,ПТО!$A$2:$D$35,4,FALSE)</f>
        <v>27500</v>
      </c>
      <c r="G48" s="152"/>
      <c r="H48" s="25" t="str">
        <f>VLOOKUP(A48,ПТО!$A$2:$D$35,2,FALSE)</f>
        <v>разово</v>
      </c>
      <c r="I48" s="153">
        <f>VLOOKUP(A48,ПТО!$A$2:$D$35,3,FALSE)</f>
        <v>1</v>
      </c>
      <c r="J48" s="153"/>
      <c r="K48" s="109"/>
      <c r="L48" s="175"/>
      <c r="M48" s="115"/>
      <c r="N48" s="109"/>
      <c r="O48" s="23" t="str">
        <f t="shared" si="1"/>
        <v>Изготовление и монтаж металлической двери.</v>
      </c>
      <c r="R48" s="22" t="s">
        <v>72</v>
      </c>
    </row>
    <row r="49" spans="1:18" ht="51" customHeight="1" outlineLevel="1">
      <c r="A49" s="151" t="str">
        <f>ПТО!A8</f>
        <v>Генеральная уборка подъезда в мае.</v>
      </c>
      <c r="B49" s="151"/>
      <c r="C49" s="151"/>
      <c r="D49" s="151"/>
      <c r="E49" s="151"/>
      <c r="F49" s="152">
        <f>VLOOKUP(A49,ПТО!$A$2:$D$35,4,FALSE)</f>
        <v>3950</v>
      </c>
      <c r="G49" s="152"/>
      <c r="H49" s="25" t="str">
        <f>VLOOKUP(A49,ПТО!$A$2:$D$35,2,FALSE)</f>
        <v>разово</v>
      </c>
      <c r="I49" s="153">
        <f>VLOOKUP(A49,ПТО!$A$2:$D$35,3,FALSE)</f>
        <v>1</v>
      </c>
      <c r="J49" s="153"/>
      <c r="K49" s="109"/>
      <c r="L49" s="175"/>
      <c r="M49" s="115"/>
      <c r="N49" s="109"/>
      <c r="O49" s="23" t="str">
        <f t="shared" si="1"/>
        <v>Генеральная уборка подъезда в мае.</v>
      </c>
      <c r="R49" s="22" t="s">
        <v>72</v>
      </c>
    </row>
    <row r="50" spans="1:18" ht="51" customHeight="1" outlineLevel="1">
      <c r="A50" s="151" t="str">
        <f>ПТО!A9</f>
        <v>Установка манометров МП 10 в тепловом пункте.</v>
      </c>
      <c r="B50" s="151"/>
      <c r="C50" s="151"/>
      <c r="D50" s="151"/>
      <c r="E50" s="151"/>
      <c r="F50" s="152">
        <f>VLOOKUP(A50,ПТО!$A$2:$D$35,4,FALSE)</f>
        <v>1300</v>
      </c>
      <c r="G50" s="152"/>
      <c r="H50" s="25" t="str">
        <f>VLOOKUP(A50,ПТО!$A$2:$D$35,2,FALSE)</f>
        <v>разово</v>
      </c>
      <c r="I50" s="153">
        <f>VLOOKUP(A50,ПТО!$A$2:$D$35,3,FALSE)</f>
        <v>5</v>
      </c>
      <c r="J50" s="153"/>
      <c r="K50" s="109"/>
      <c r="L50" s="175"/>
      <c r="M50" s="115"/>
      <c r="N50" s="109"/>
      <c r="O50" s="23" t="str">
        <f t="shared" si="1"/>
        <v>Установка манометров МП 10 в тепловом пункте.</v>
      </c>
      <c r="R50" s="22" t="s">
        <v>72</v>
      </c>
    </row>
    <row r="51" spans="1:18" ht="51" customHeight="1" outlineLevel="1">
      <c r="A51" s="151" t="str">
        <f>ПТО!A10</f>
        <v>Изготовление и монтаж табличек "Выгул собак запрещен".</v>
      </c>
      <c r="B51" s="151"/>
      <c r="C51" s="151"/>
      <c r="D51" s="151"/>
      <c r="E51" s="151"/>
      <c r="F51" s="152">
        <f>VLOOKUP(A51,ПТО!$A$2:$D$35,4,FALSE)</f>
        <v>1125</v>
      </c>
      <c r="G51" s="152"/>
      <c r="H51" s="25" t="str">
        <f>VLOOKUP(A51,ПТО!$A$2:$D$35,2,FALSE)</f>
        <v>разово</v>
      </c>
      <c r="I51" s="153">
        <f>VLOOKUP(A51,ПТО!$A$2:$D$35,3,FALSE)</f>
        <v>4</v>
      </c>
      <c r="J51" s="153"/>
      <c r="K51" s="109"/>
      <c r="L51" s="175"/>
      <c r="M51" s="115"/>
      <c r="N51" s="109"/>
      <c r="O51" s="23" t="str">
        <f t="shared" si="1"/>
        <v>Изготовление и монтаж табличек "Выгул собак запрещен".</v>
      </c>
      <c r="R51" s="22" t="s">
        <v>72</v>
      </c>
    </row>
    <row r="52" spans="1:18" ht="51" customHeight="1" outlineLevel="1">
      <c r="A52" s="151" t="str">
        <f>ПТО!A11</f>
        <v>Установка светодиодного светильника.</v>
      </c>
      <c r="B52" s="151"/>
      <c r="C52" s="151"/>
      <c r="D52" s="151"/>
      <c r="E52" s="151"/>
      <c r="F52" s="152">
        <f>VLOOKUP(A52,ПТО!$A$2:$D$35,4,FALSE)</f>
        <v>2000</v>
      </c>
      <c r="G52" s="152"/>
      <c r="H52" s="25" t="str">
        <f>VLOOKUP(A52,ПТО!$A$2:$D$35,2,FALSE)</f>
        <v>разово</v>
      </c>
      <c r="I52" s="153">
        <f>VLOOKUP(A52,ПТО!$A$2:$D$35,3,FALSE)</f>
        <v>1</v>
      </c>
      <c r="J52" s="153"/>
      <c r="K52" s="109"/>
      <c r="L52" s="175"/>
      <c r="M52" s="115"/>
      <c r="N52" s="109"/>
      <c r="O52" s="23" t="str">
        <f t="shared" si="1"/>
        <v>Установка светодиодного светильника.</v>
      </c>
      <c r="R52" s="22" t="s">
        <v>72</v>
      </c>
    </row>
    <row r="53" spans="1:18" ht="51" customHeight="1" outlineLevel="1">
      <c r="A53" s="151" t="str">
        <f>ПТО!A12</f>
        <v>Приобретение и установка парковочных столбиков возле подъезда.</v>
      </c>
      <c r="B53" s="151"/>
      <c r="C53" s="151"/>
      <c r="D53" s="151"/>
      <c r="E53" s="151"/>
      <c r="F53" s="152">
        <f>VLOOKUP(A53,ПТО!$A$2:$D$35,4,FALSE)</f>
        <v>4505.63</v>
      </c>
      <c r="G53" s="152"/>
      <c r="H53" s="25" t="str">
        <f>VLOOKUP(A53,ПТО!$A$2:$D$35,2,FALSE)</f>
        <v>разово</v>
      </c>
      <c r="I53" s="153">
        <f>VLOOKUP(A53,ПТО!$A$2:$D$35,3,FALSE)</f>
        <v>3</v>
      </c>
      <c r="J53" s="153"/>
      <c r="K53" s="109"/>
      <c r="L53" s="175"/>
      <c r="M53" s="115"/>
      <c r="N53" s="109"/>
      <c r="O53" s="23" t="str">
        <f t="shared" si="1"/>
        <v>Приобретение и установка парковочных столбиков возле подъезда.</v>
      </c>
      <c r="R53" s="22" t="s">
        <v>72</v>
      </c>
    </row>
    <row r="54" spans="1:18" ht="51" customHeight="1" outlineLevel="1">
      <c r="A54" s="151" t="str">
        <f>ПТО!A13</f>
        <v>Замена блока управления домофоном.</v>
      </c>
      <c r="B54" s="151"/>
      <c r="C54" s="151"/>
      <c r="D54" s="151"/>
      <c r="E54" s="151"/>
      <c r="F54" s="152">
        <f>VLOOKUP(A54,ПТО!$A$2:$D$35,4,FALSE)</f>
        <v>3500</v>
      </c>
      <c r="G54" s="152"/>
      <c r="H54" s="25" t="str">
        <f>VLOOKUP(A54,ПТО!$A$2:$D$35,2,FALSE)</f>
        <v>разово</v>
      </c>
      <c r="I54" s="153">
        <f>VLOOKUP(A54,ПТО!$A$2:$D$35,3,FALSE)</f>
        <v>1</v>
      </c>
      <c r="J54" s="153"/>
      <c r="K54" s="109"/>
      <c r="L54" s="175"/>
      <c r="M54" s="115"/>
      <c r="N54" s="109"/>
      <c r="O54" s="23" t="str">
        <f t="shared" si="1"/>
        <v>Замена блока управления домофоном.</v>
      </c>
      <c r="R54" s="22" t="s">
        <v>72</v>
      </c>
    </row>
    <row r="55" spans="1:18" ht="51" customHeight="1" outlineLevel="1">
      <c r="A55" s="151" t="str">
        <f>ПТО!A14</f>
        <v>Благоустройство территории (посадка цветов).</v>
      </c>
      <c r="B55" s="151"/>
      <c r="C55" s="151"/>
      <c r="D55" s="151"/>
      <c r="E55" s="151"/>
      <c r="F55" s="152">
        <f>VLOOKUP(A55,ПТО!$A$2:$D$35,4,FALSE)</f>
        <v>800</v>
      </c>
      <c r="G55" s="152"/>
      <c r="H55" s="25" t="str">
        <f>VLOOKUP(A55,ПТО!$A$2:$D$35,2,FALSE)</f>
        <v>разово</v>
      </c>
      <c r="I55" s="153">
        <f>VLOOKUP(A55,ПТО!$A$2:$D$35,3,FALSE)</f>
        <v>1</v>
      </c>
      <c r="J55" s="153"/>
      <c r="K55" s="109"/>
      <c r="L55" s="175"/>
      <c r="M55" s="115"/>
      <c r="N55" s="109"/>
      <c r="O55" s="23" t="str">
        <f t="shared" si="1"/>
        <v>Благоустройство территории (посадка цветов).</v>
      </c>
      <c r="R55" s="22" t="s">
        <v>72</v>
      </c>
    </row>
    <row r="56" spans="1:18" ht="51" customHeight="1" outlineLevel="1">
      <c r="A56" s="151" t="str">
        <f>ПТО!A15</f>
        <v>Изготовление и монтаж решетчатой двери.</v>
      </c>
      <c r="B56" s="151"/>
      <c r="C56" s="151"/>
      <c r="D56" s="151"/>
      <c r="E56" s="151"/>
      <c r="F56" s="152">
        <f>VLOOKUP(A56,ПТО!$A$2:$D$35,4,FALSE)</f>
        <v>14730</v>
      </c>
      <c r="G56" s="152"/>
      <c r="H56" s="25" t="str">
        <f>VLOOKUP(A56,ПТО!$A$2:$D$35,2,FALSE)</f>
        <v>разово</v>
      </c>
      <c r="I56" s="153">
        <f>VLOOKUP(A56,ПТО!$A$2:$D$35,3,FALSE)</f>
        <v>1</v>
      </c>
      <c r="J56" s="153"/>
      <c r="K56" s="109"/>
      <c r="L56" s="175"/>
      <c r="M56" s="115"/>
      <c r="N56" s="109"/>
      <c r="O56" s="23" t="str">
        <f t="shared" si="1"/>
        <v>Изготовление и монтаж решетчатой двери.</v>
      </c>
      <c r="R56" s="22" t="s">
        <v>72</v>
      </c>
    </row>
    <row r="57" spans="1:18" ht="51" customHeight="1" outlineLevel="1">
      <c r="A57" s="151" t="str">
        <f>ПТО!A16</f>
        <v>Генеральная уборка подъезда в октябре.</v>
      </c>
      <c r="B57" s="151"/>
      <c r="C57" s="151"/>
      <c r="D57" s="151"/>
      <c r="E57" s="151"/>
      <c r="F57" s="152">
        <f>VLOOKUP(A57,ПТО!$A$2:$D$35,4,FALSE)</f>
        <v>3471</v>
      </c>
      <c r="G57" s="152"/>
      <c r="H57" s="25" t="str">
        <f>VLOOKUP(A57,ПТО!$A$2:$D$35,2,FALSE)</f>
        <v>разово</v>
      </c>
      <c r="I57" s="153">
        <f>VLOOKUP(A57,ПТО!$A$2:$D$35,3,FALSE)</f>
        <v>1</v>
      </c>
      <c r="J57" s="153"/>
      <c r="K57" s="109"/>
      <c r="L57" s="175"/>
      <c r="M57" s="115"/>
      <c r="N57" s="109"/>
      <c r="O57" s="23" t="str">
        <f t="shared" si="1"/>
        <v>Генеральная уборка подъезда в октябре.</v>
      </c>
      <c r="R57" s="22" t="s">
        <v>72</v>
      </c>
    </row>
    <row r="58" spans="1:18" ht="51" customHeight="1" outlineLevel="1">
      <c r="A58" s="151" t="str">
        <f>ПТО!A17</f>
        <v>Установка и приобретение дорожных знаков.</v>
      </c>
      <c r="B58" s="151"/>
      <c r="C58" s="151"/>
      <c r="D58" s="151"/>
      <c r="E58" s="151"/>
      <c r="F58" s="152">
        <f>VLOOKUP(A58,ПТО!$A$2:$D$35,4,FALSE)</f>
        <v>1080</v>
      </c>
      <c r="G58" s="152"/>
      <c r="H58" s="25" t="str">
        <f>VLOOKUP(A58,ПТО!$A$2:$D$35,2,FALSE)</f>
        <v>разово</v>
      </c>
      <c r="I58" s="153">
        <f>VLOOKUP(A58,ПТО!$A$2:$D$35,3,FALSE)</f>
        <v>2</v>
      </c>
      <c r="J58" s="153"/>
      <c r="K58" s="109"/>
      <c r="L58" s="175"/>
      <c r="M58" s="115"/>
      <c r="N58" s="109"/>
      <c r="O58" s="23" t="str">
        <f t="shared" si="1"/>
        <v>Установка и приобретение дорожных знаков.</v>
      </c>
      <c r="R58" s="22" t="s">
        <v>72</v>
      </c>
    </row>
    <row r="59" spans="1:18" ht="51" customHeight="1" outlineLevel="1">
      <c r="A59" s="151" t="str">
        <f>ПТО!A18</f>
        <v>Прочистка канализационной сети.</v>
      </c>
      <c r="B59" s="151"/>
      <c r="C59" s="151"/>
      <c r="D59" s="151"/>
      <c r="E59" s="151"/>
      <c r="F59" s="152">
        <f>VLOOKUP(A59,ПТО!$A$2:$D$35,4,FALSE)</f>
        <v>2849</v>
      </c>
      <c r="G59" s="152"/>
      <c r="H59" s="25" t="str">
        <f>VLOOKUP(A59,ПТО!$A$2:$D$35,2,FALSE)</f>
        <v>разово</v>
      </c>
      <c r="I59" s="153">
        <f>VLOOKUP(A59,ПТО!$A$2:$D$35,3,FALSE)</f>
        <v>1</v>
      </c>
      <c r="J59" s="153"/>
      <c r="K59" s="109"/>
      <c r="L59" s="175"/>
      <c r="M59" s="115"/>
      <c r="N59" s="109"/>
      <c r="O59" s="23" t="str">
        <f t="shared" si="1"/>
        <v>Прочистка канализационной сети.</v>
      </c>
      <c r="R59" s="22" t="s">
        <v>72</v>
      </c>
    </row>
    <row r="60" spans="1:18" ht="51" customHeight="1" outlineLevel="1">
      <c r="A60" s="151" t="str">
        <f>ПТО!A19</f>
        <v>Установка гирлянд над подъездом.</v>
      </c>
      <c r="B60" s="151"/>
      <c r="C60" s="151"/>
      <c r="D60" s="151"/>
      <c r="E60" s="151"/>
      <c r="F60" s="152">
        <f>VLOOKUP(A60,ПТО!$A$2:$D$35,4,FALSE)</f>
        <v>1061</v>
      </c>
      <c r="G60" s="152"/>
      <c r="H60" s="25" t="str">
        <f>VLOOKUP(A60,ПТО!$A$2:$D$35,2,FALSE)</f>
        <v>разово</v>
      </c>
      <c r="I60" s="153">
        <f>VLOOKUP(A60,ПТО!$A$2:$D$35,3,FALSE)</f>
        <v>1</v>
      </c>
      <c r="J60" s="153"/>
      <c r="K60" s="109"/>
      <c r="L60" s="175"/>
      <c r="M60" s="115"/>
      <c r="N60" s="109"/>
      <c r="O60" s="23" t="str">
        <f t="shared" si="1"/>
        <v>Установка гирлянд над подъездом.</v>
      </c>
      <c r="R60" s="22" t="s">
        <v>72</v>
      </c>
    </row>
    <row r="61" spans="1:18" ht="51" hidden="1" customHeight="1" outlineLevel="1">
      <c r="A61" s="151">
        <f>ПТО!A24</f>
        <v>0</v>
      </c>
      <c r="B61" s="151"/>
      <c r="C61" s="151"/>
      <c r="D61" s="151"/>
      <c r="E61" s="151"/>
      <c r="F61" s="152" t="e">
        <f>VLOOKUP(A61,ПТО!$A$2:$D$35,4,FALSE)</f>
        <v>#N/A</v>
      </c>
      <c r="G61" s="152"/>
      <c r="H61" s="25" t="e">
        <f>VLOOKUP(A61,ПТО!$A$2:$D$35,2,FALSE)</f>
        <v>#N/A</v>
      </c>
      <c r="I61" s="153" t="e">
        <f>VLOOKUP(A61,ПТО!$A$2:$D$35,3,FALSE)</f>
        <v>#N/A</v>
      </c>
      <c r="J61" s="153"/>
      <c r="K61" s="109"/>
      <c r="L61" s="17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ПТО!A25</f>
        <v>0</v>
      </c>
      <c r="B62" s="151"/>
      <c r="C62" s="151"/>
      <c r="D62" s="151"/>
      <c r="E62" s="151"/>
      <c r="F62" s="152" t="e">
        <f>VLOOKUP(A62,ПТО!$A$2:$D$35,4,FALSE)</f>
        <v>#N/A</v>
      </c>
      <c r="G62" s="152"/>
      <c r="H62" s="25" t="e">
        <f>VLOOKUP(A62,ПТО!$A$2:$D$35,2,FALSE)</f>
        <v>#N/A</v>
      </c>
      <c r="I62" s="153" t="e">
        <f>VLOOKUP(A62,ПТО!$A$2:$D$35,3,FALSE)</f>
        <v>#N/A</v>
      </c>
      <c r="J62" s="153"/>
      <c r="K62" s="109"/>
      <c r="L62" s="17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ПТО!A26</f>
        <v>0</v>
      </c>
      <c r="B63" s="151"/>
      <c r="C63" s="151"/>
      <c r="D63" s="151"/>
      <c r="E63" s="151"/>
      <c r="F63" s="152" t="e">
        <f>VLOOKUP(A63,ПТО!$A$2:$D$35,4,FALSE)</f>
        <v>#N/A</v>
      </c>
      <c r="G63" s="152"/>
      <c r="H63" s="25" t="e">
        <f>VLOOKUP(A63,ПТО!$A$2:$D$35,2,FALSE)</f>
        <v>#N/A</v>
      </c>
      <c r="I63" s="153" t="e">
        <f>VLOOKUP(A63,ПТО!$A$2:$D$35,3,FALSE)</f>
        <v>#N/A</v>
      </c>
      <c r="J63" s="153"/>
      <c r="K63" s="109"/>
      <c r="L63" s="17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ПТО!A27</f>
        <v>0</v>
      </c>
      <c r="B64" s="151"/>
      <c r="C64" s="151"/>
      <c r="D64" s="151"/>
      <c r="E64" s="151"/>
      <c r="F64" s="152" t="e">
        <f>VLOOKUP(A64,ПТО!$A$2:$D$35,4,FALSE)</f>
        <v>#N/A</v>
      </c>
      <c r="G64" s="152"/>
      <c r="H64" s="25" t="e">
        <f>VLOOKUP(A64,ПТО!$A$2:$D$35,2,FALSE)</f>
        <v>#N/A</v>
      </c>
      <c r="I64" s="153" t="e">
        <f>VLOOKUP(A64,ПТО!$A$2:$D$35,3,FALSE)</f>
        <v>#N/A</v>
      </c>
      <c r="J64" s="153"/>
      <c r="K64" s="109"/>
      <c r="L64" s="17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ПТО!A28</f>
        <v>0</v>
      </c>
      <c r="B65" s="151"/>
      <c r="C65" s="151"/>
      <c r="D65" s="151"/>
      <c r="E65" s="151"/>
      <c r="F65" s="152" t="e">
        <f>VLOOKUP(A65,ПТО!$A$2:$D$35,4,FALSE)</f>
        <v>#N/A</v>
      </c>
      <c r="G65" s="152"/>
      <c r="H65" s="25" t="e">
        <f>VLOOKUP(A65,ПТО!$A$2:$D$35,2,FALSE)</f>
        <v>#N/A</v>
      </c>
      <c r="I65" s="153" t="e">
        <f>VLOOKUP(A65,ПТО!$A$2:$D$35,3,FALSE)</f>
        <v>#N/A</v>
      </c>
      <c r="J65" s="153"/>
      <c r="K65" s="109"/>
      <c r="L65" s="17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ПТО!A29</f>
        <v>0</v>
      </c>
      <c r="B66" s="151"/>
      <c r="C66" s="151"/>
      <c r="D66" s="151"/>
      <c r="E66" s="151"/>
      <c r="F66" s="152" t="e">
        <f>VLOOKUP(A66,ПТО!$A$2:$D$35,4,FALSE)</f>
        <v>#N/A</v>
      </c>
      <c r="G66" s="152"/>
      <c r="H66" s="25" t="e">
        <f>VLOOKUP(A66,ПТО!$A$2:$D$35,2,FALSE)</f>
        <v>#N/A</v>
      </c>
      <c r="I66" s="153" t="e">
        <f>VLOOKUP(A66,ПТО!$A$2:$D$35,3,FALSE)</f>
        <v>#N/A</v>
      </c>
      <c r="J66" s="153"/>
      <c r="K66" s="109"/>
      <c r="L66" s="17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ПТО!A30</f>
        <v>0</v>
      </c>
      <c r="B67" s="151"/>
      <c r="C67" s="151"/>
      <c r="D67" s="151"/>
      <c r="E67" s="151"/>
      <c r="F67" s="152" t="e">
        <f>VLOOKUP(A67,ПТО!$A$2:$D$35,4,FALSE)</f>
        <v>#N/A</v>
      </c>
      <c r="G67" s="152"/>
      <c r="H67" s="25" t="e">
        <f>VLOOKUP(A67,ПТО!$A$2:$D$35,2,FALSE)</f>
        <v>#N/A</v>
      </c>
      <c r="I67" s="153" t="e">
        <f>VLOOKUP(A67,ПТО!$A$2:$D$35,3,FALSE)</f>
        <v>#N/A</v>
      </c>
      <c r="J67" s="153"/>
      <c r="K67" s="109"/>
      <c r="L67" s="17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ПТО!A31</f>
        <v>0</v>
      </c>
      <c r="B68" s="151"/>
      <c r="C68" s="151"/>
      <c r="D68" s="151"/>
      <c r="E68" s="151"/>
      <c r="F68" s="152" t="e">
        <f>VLOOKUP(A68,ПТО!$A$2:$D$35,4,FALSE)</f>
        <v>#N/A</v>
      </c>
      <c r="G68" s="152"/>
      <c r="H68" s="25" t="e">
        <f>VLOOKUP(A68,ПТО!$A$2:$D$35,2,FALSE)</f>
        <v>#N/A</v>
      </c>
      <c r="I68" s="153" t="e">
        <f>VLOOKUP(A68,ПТО!$A$2:$D$35,3,FALSE)</f>
        <v>#N/A</v>
      </c>
      <c r="J68" s="153"/>
      <c r="K68" s="109"/>
      <c r="L68" s="17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ПТО!A32</f>
        <v>0</v>
      </c>
      <c r="B69" s="151"/>
      <c r="C69" s="151"/>
      <c r="D69" s="151"/>
      <c r="E69" s="151"/>
      <c r="F69" s="152" t="e">
        <f>VLOOKUP(A69,ПТО!$A$2:$D$35,4,FALSE)</f>
        <v>#N/A</v>
      </c>
      <c r="G69" s="152"/>
      <c r="H69" s="25" t="e">
        <f>VLOOKUP(A69,ПТО!$A$2:$D$35,2,FALSE)</f>
        <v>#N/A</v>
      </c>
      <c r="I69" s="153" t="e">
        <f>VLOOKUP(A69,ПТО!$A$2:$D$35,3,FALSE)</f>
        <v>#N/A</v>
      </c>
      <c r="J69" s="153"/>
      <c r="K69" s="109"/>
      <c r="L69" s="17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ПТО!A33</f>
        <v>0</v>
      </c>
      <c r="B70" s="151"/>
      <c r="C70" s="151"/>
      <c r="D70" s="151"/>
      <c r="E70" s="151"/>
      <c r="F70" s="152" t="e">
        <f>VLOOKUP(A70,ПТО!$A$2:$D$35,4,FALSE)</f>
        <v>#N/A</v>
      </c>
      <c r="G70" s="152"/>
      <c r="H70" s="25" t="e">
        <f>VLOOKUP(A70,ПТО!$A$2:$D$35,2,FALSE)</f>
        <v>#N/A</v>
      </c>
      <c r="I70" s="153" t="e">
        <f>VLOOKUP(A70,ПТО!$A$2:$D$35,3,FALSE)</f>
        <v>#N/A</v>
      </c>
      <c r="J70" s="153"/>
      <c r="K70" s="109"/>
      <c r="L70" s="17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ПТО!A34</f>
        <v>0</v>
      </c>
      <c r="B71" s="151"/>
      <c r="C71" s="151"/>
      <c r="D71" s="151"/>
      <c r="E71" s="151"/>
      <c r="F71" s="152" t="e">
        <f>VLOOKUP(A71,ПТО!$A$2:$D$35,4,FALSE)</f>
        <v>#N/A</v>
      </c>
      <c r="G71" s="152"/>
      <c r="H71" s="25" t="e">
        <f>VLOOKUP(A71,ПТО!$A$2:$D$35,2,FALSE)</f>
        <v>#N/A</v>
      </c>
      <c r="I71" s="153" t="e">
        <f>VLOOKUP(A71,ПТО!$A$2:$D$35,3,FALSE)</f>
        <v>#N/A</v>
      </c>
      <c r="J71" s="153"/>
      <c r="K71" s="115"/>
      <c r="L71" s="17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ПТО!A35</f>
        <v>0</v>
      </c>
      <c r="B72" s="151"/>
      <c r="C72" s="151"/>
      <c r="D72" s="151"/>
      <c r="E72" s="151"/>
      <c r="F72" s="152" t="e">
        <f>VLOOKUP(A72,ПТО!$A$2:$D$35,4,FALSE)</f>
        <v>#N/A</v>
      </c>
      <c r="G72" s="152"/>
      <c r="H72" s="25" t="e">
        <f>VLOOKUP(A72,ПТО!$A$2:$D$35,2,FALSE)</f>
        <v>#N/A</v>
      </c>
      <c r="I72" s="153" t="e">
        <f>VLOOKUP(A72,ПТО!$A$2:$D$35,3,FALSE)</f>
        <v>#N/A</v>
      </c>
      <c r="J72" s="153"/>
      <c r="K72" s="109"/>
      <c r="L72" s="17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09"/>
      <c r="L75" s="158"/>
      <c r="M75" s="109"/>
      <c r="N75" s="109"/>
      <c r="O75" s="70" t="s">
        <v>98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09"/>
      <c r="L76" s="158"/>
      <c r="M76" s="109"/>
      <c r="N76" s="109"/>
      <c r="O76" s="70" t="s">
        <v>99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09"/>
      <c r="L77" s="158"/>
      <c r="M77" s="109"/>
      <c r="N77" s="109"/>
      <c r="O77" s="70" t="s">
        <v>100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09"/>
      <c r="L78" s="158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76"/>
      <c r="M81" s="109"/>
      <c r="N81" s="109"/>
      <c r="O81" s="70" t="s">
        <v>102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76"/>
      <c r="M82" s="109"/>
      <c r="N82" s="109"/>
      <c r="O82" s="70" t="s">
        <v>103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282911.98</v>
      </c>
      <c r="K83" s="109"/>
      <c r="L83" s="176"/>
      <c r="M83" s="109"/>
      <c r="N83" s="109"/>
      <c r="O83" s="70" t="s">
        <v>104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09"/>
      <c r="L84" s="176"/>
      <c r="M84" s="109"/>
      <c r="N84" s="109"/>
      <c r="O84" s="70" t="s">
        <v>105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09"/>
      <c r="L85" s="176"/>
      <c r="M85" s="109"/>
      <c r="N85" s="109"/>
      <c r="O85" s="70" t="s">
        <v>106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349741.37</v>
      </c>
      <c r="K86" s="109"/>
      <c r="L86" s="176"/>
      <c r="M86" s="109"/>
      <c r="N86" s="109"/>
      <c r="O86" s="70" t="s">
        <v>107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9"/>
      <c r="L87" s="176"/>
      <c r="M87" s="109"/>
      <c r="N87" s="109"/>
      <c r="O87" s="70" t="s">
        <v>108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9"/>
      <c r="L88" s="176"/>
      <c r="M88" s="109"/>
      <c r="N88" s="109"/>
      <c r="O88" s="70" t="s">
        <v>109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9"/>
      <c r="L89" s="176"/>
      <c r="M89" s="109"/>
      <c r="N89" s="109"/>
      <c r="O89" s="70" t="s">
        <v>110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09"/>
      <c r="L90" s="176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0" t="s">
        <v>48</v>
      </c>
      <c r="B93" s="160"/>
      <c r="C93" s="160"/>
      <c r="D93" s="163" t="s">
        <v>49</v>
      </c>
      <c r="E93" s="163"/>
      <c r="F93" s="10" t="s">
        <v>50</v>
      </c>
      <c r="G93" s="160" t="s">
        <v>51</v>
      </c>
      <c r="H93" s="160"/>
      <c r="I93" s="160"/>
      <c r="J93" s="160"/>
      <c r="K93" s="109"/>
      <c r="L93" s="109"/>
      <c r="M93" s="109"/>
      <c r="N93" s="109"/>
    </row>
    <row r="94" spans="1:15" hidden="1" outlineLevel="1">
      <c r="A94" s="164">
        <f>IF(VLOOKUP("эл",АО,3,FALSE)&gt;0,"Электроснабжение",0)</f>
        <v>0</v>
      </c>
      <c r="B94" s="164"/>
      <c r="C94" s="164"/>
      <c r="D94" s="162">
        <f>IF(VLOOKUP("эл",АО,3,FALSE)&gt;0,VLOOKUP("эл",АО,3,FALSE),0)</f>
        <v>0</v>
      </c>
      <c r="E94" s="162"/>
      <c r="F94" s="13">
        <f>IF(VLOOKUP("эл",АО,3,FALSE)&gt;0,VLOOKUP("эл",АО,4,FALSE),0)</f>
        <v>0</v>
      </c>
      <c r="G94" s="161">
        <f>VLOOKUP("эл",АО,5,FALSE)</f>
        <v>0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hidden="1" outlineLevel="2">
      <c r="A95" s="165">
        <f>IF(VLOOKUP("эл",АО,3,FALSE)&gt;0,VLOOKUP("эл1",АО,2,FALSE),0)</f>
        <v>0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0</v>
      </c>
      <c r="L95" s="177"/>
      <c r="O95" s="1" t="s">
        <v>112</v>
      </c>
    </row>
    <row r="96" spans="1:15" hidden="1" outlineLevel="2">
      <c r="A96" s="165">
        <f>IF(VLOOKUP("эл",АО,3,FALSE)&gt;0,VLOOKUP("эл2",АО,2,FALSE),0)</f>
        <v>0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0</v>
      </c>
      <c r="L96" s="177"/>
      <c r="O96" s="1" t="s">
        <v>113</v>
      </c>
    </row>
    <row r="97" spans="1:15" hidden="1" outlineLevel="2">
      <c r="A97" s="165">
        <f>IF(VLOOKUP("эл",АО,3,FALSE)&gt;0,VLOOKUP("эл3",АО,2,FALSE),0)</f>
        <v>0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0</v>
      </c>
      <c r="L97" s="177"/>
      <c r="O97" s="1" t="s">
        <v>114</v>
      </c>
    </row>
    <row r="98" spans="1:15" ht="37.5" hidden="1" customHeight="1" outlineLevel="2">
      <c r="A98" s="165">
        <f>IF(VLOOKUP("эл",АО,3,FALSE)&gt;0,VLOOKUP("эл4",АО,2,FALSE),0)</f>
        <v>0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0</v>
      </c>
      <c r="L98" s="177"/>
      <c r="O98" s="1" t="s">
        <v>115</v>
      </c>
    </row>
    <row r="99" spans="1:15" hidden="1" outlineLevel="2">
      <c r="A99" s="165">
        <f>IF(VLOOKUP("эл",АО,3,FALSE)&gt;0,VLOOKUP("эл5",АО,2,FALSE),0)</f>
        <v>0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0</v>
      </c>
      <c r="L99" s="177"/>
      <c r="O99" s="1" t="s">
        <v>116</v>
      </c>
    </row>
    <row r="100" spans="1:15" ht="39" hidden="1" customHeight="1" outlineLevel="2">
      <c r="A100" s="165">
        <f>IF(VLOOKUP("эл",АО,3,FALSE)&gt;0,VLOOKUP("эл6",АО,2,FALSE),0)</f>
        <v>0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117</v>
      </c>
    </row>
    <row r="101" spans="1:15" ht="34.5" hidden="1" customHeight="1" outlineLevel="2">
      <c r="A101" s="165">
        <f>IF(VLOOKUP("эл",АО,3,FALSE)&gt;0,VLOOKUP("эл7",АО,2,FALSE),0)</f>
        <v>0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118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39606.5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3123.54</v>
      </c>
      <c r="L103" s="177"/>
      <c r="O103" s="1" t="s">
        <v>121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36019.550000000003</v>
      </c>
      <c r="L104" s="177"/>
      <c r="O104" s="1" t="s">
        <v>122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3586.9499999999971</v>
      </c>
      <c r="L105" s="177"/>
      <c r="O105" s="1" t="s">
        <v>123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39606.5</v>
      </c>
      <c r="L106" s="177"/>
      <c r="O106" s="1" t="s">
        <v>124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39606.5</v>
      </c>
      <c r="L107" s="177"/>
      <c r="O107" s="1" t="s">
        <v>125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126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127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69444.75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5113.75</v>
      </c>
      <c r="L111" s="177"/>
      <c r="O111" s="1" t="s">
        <v>129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63155.51</v>
      </c>
      <c r="L112" s="177"/>
      <c r="O112" s="1" t="s">
        <v>130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6289.239999999998</v>
      </c>
      <c r="L113" s="177"/>
      <c r="O113" s="1" t="s">
        <v>131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69444.75</v>
      </c>
      <c r="L114" s="177"/>
      <c r="O114" s="1" t="s">
        <v>132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69444.75</v>
      </c>
      <c r="L115" s="177"/>
      <c r="O115" s="1" t="s">
        <v>133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134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135</v>
      </c>
    </row>
    <row r="118" spans="1:15" ht="32.25" hidden="1" customHeight="1" outlineLevel="1">
      <c r="A118" s="164">
        <f>IF(VLOOKUP("тко",АО,3,FALSE)&gt;0,"Обращение с ТКО",0)</f>
        <v>0</v>
      </c>
      <c r="B118" s="164"/>
      <c r="C118" s="164"/>
      <c r="D118" s="162">
        <f>IF(VLOOKUP("тко",АО,3,FALSE)&gt;0,VLOOKUP("тко",АО,3,FALSE),0)</f>
        <v>0</v>
      </c>
      <c r="E118" s="162"/>
      <c r="F118" s="13">
        <f>IF(VLOOKUP("тко",АО,3,FALSE)&gt;0,VLOOKUP("тко",АО,4,FALSE),0)</f>
        <v>0</v>
      </c>
      <c r="G118" s="161">
        <f>VLOOKUP("тко",АО,5,FALSE)</f>
        <v>0</v>
      </c>
      <c r="H118" s="162"/>
      <c r="I118" s="162"/>
      <c r="J118" s="162"/>
      <c r="L118" s="47"/>
    </row>
    <row r="119" spans="1:15" ht="32.25" hidden="1" customHeight="1" outlineLevel="2">
      <c r="A119" s="159">
        <f t="shared" ref="A119:A125" si="8">IF(VLOOKUP("тко",АО,3,FALSE)&gt;0,VLOOKUP(O119,АО,2,FALSE),0)</f>
        <v>0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9">
        <f t="shared" si="8"/>
        <v>0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9">
        <f t="shared" si="8"/>
        <v>0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9">
        <f t="shared" si="8"/>
        <v>0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9">
        <f t="shared" si="8"/>
        <v>0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9">
        <f t="shared" si="8"/>
        <v>0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9">
        <f t="shared" si="8"/>
        <v>0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3</v>
      </c>
      <c r="O144" t="s">
        <v>169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59" t="s">
        <v>172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25683.89</v>
      </c>
      <c r="O146" t="s">
        <v>171</v>
      </c>
    </row>
    <row r="149" spans="1:15" ht="52.5" customHeight="1">
      <c r="A149" s="155" t="s">
        <v>177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0</v>
      </c>
      <c r="E151" s="3">
        <v>43101</v>
      </c>
    </row>
    <row r="152" spans="1:15">
      <c r="A152" s="1" t="s">
        <v>1</v>
      </c>
      <c r="E152" s="3">
        <v>43465</v>
      </c>
    </row>
    <row r="154" spans="1:15" ht="39.75" customHeight="1">
      <c r="A154" s="154" t="s">
        <v>190</v>
      </c>
      <c r="B154" s="154"/>
      <c r="C154" s="154"/>
      <c r="D154" s="154"/>
      <c r="E154" s="27">
        <f>ПТО!G1</f>
        <v>-9097.85</v>
      </c>
    </row>
    <row r="155" spans="1:15" ht="34.5" customHeight="1">
      <c r="A155" s="156" t="s">
        <v>191</v>
      </c>
      <c r="B155" s="156"/>
      <c r="C155" s="156"/>
      <c r="D155" s="156"/>
      <c r="E155" s="28">
        <f>J13</f>
        <v>145243.20000000001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51" t="str">
        <f t="shared" ref="A158:A163" si="14">IF(N158&gt;0,N158,0)</f>
        <v>Монтаж системы видеонаблюдения.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29431</v>
      </c>
      <c r="G158" s="152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72</v>
      </c>
      <c r="N158" s="1" t="str">
        <f>ПТО!A2</f>
        <v>Монтаж системы видеонаблюдения.</v>
      </c>
    </row>
    <row r="159" spans="1:15" ht="28.5" customHeight="1">
      <c r="A159" s="151" t="str">
        <f t="shared" si="14"/>
        <v>Техническое освидетельствование лифта.</v>
      </c>
      <c r="B159" s="151"/>
      <c r="C159" s="151"/>
      <c r="D159" s="151"/>
      <c r="E159" s="151"/>
      <c r="F159" s="152">
        <f t="shared" si="15"/>
        <v>8100</v>
      </c>
      <c r="G159" s="152"/>
      <c r="H159" s="24" t="str">
        <f t="shared" si="16"/>
        <v>ежемесячно</v>
      </c>
      <c r="I159" s="153">
        <f t="shared" si="17"/>
        <v>1</v>
      </c>
      <c r="J159" s="153"/>
      <c r="M159" s="22" t="s">
        <v>72</v>
      </c>
      <c r="N159" s="1" t="str">
        <f>ПТО!A3</f>
        <v>Техническое освидетельствование лифта.</v>
      </c>
    </row>
    <row r="160" spans="1:15" ht="28.5" customHeight="1">
      <c r="A160" s="151" t="str">
        <f t="shared" si="14"/>
        <v>Техническое обслуживание охранной сигнализации.</v>
      </c>
      <c r="B160" s="151"/>
      <c r="C160" s="151"/>
      <c r="D160" s="151"/>
      <c r="E160" s="151"/>
      <c r="F160" s="152">
        <f t="shared" si="15"/>
        <v>12000</v>
      </c>
      <c r="G160" s="152"/>
      <c r="H160" s="24" t="str">
        <f t="shared" si="16"/>
        <v>разово</v>
      </c>
      <c r="I160" s="153">
        <f t="shared" si="17"/>
        <v>12</v>
      </c>
      <c r="J160" s="153"/>
      <c r="M160" s="22" t="s">
        <v>72</v>
      </c>
      <c r="N160" s="1" t="str">
        <f>ПТО!A4</f>
        <v>Техническое обслуживание охранной сигнализации.</v>
      </c>
    </row>
    <row r="161" spans="1:14" ht="28.5" customHeight="1">
      <c r="A161" s="151" t="str">
        <f>IF(N161&gt;0,N161,0)</f>
        <v>Приобретение и установка информационного стенда.</v>
      </c>
      <c r="B161" s="151"/>
      <c r="C161" s="151"/>
      <c r="D161" s="151"/>
      <c r="E161" s="151"/>
      <c r="F161" s="152">
        <f t="shared" si="15"/>
        <v>7108</v>
      </c>
      <c r="G161" s="152"/>
      <c r="H161" s="24">
        <f t="shared" si="16"/>
        <v>0</v>
      </c>
      <c r="I161" s="153">
        <f t="shared" si="17"/>
        <v>1</v>
      </c>
      <c r="J161" s="153"/>
      <c r="M161" s="22" t="s">
        <v>72</v>
      </c>
      <c r="N161" s="1" t="str">
        <f>ПТО!A5</f>
        <v>Приобретение и установка информационного стенда.</v>
      </c>
    </row>
    <row r="162" spans="1:14" ht="28.5" customHeight="1">
      <c r="A162" s="151" t="str">
        <f t="shared" si="14"/>
        <v>Вывоз снега с придомовой территории.</v>
      </c>
      <c r="B162" s="151"/>
      <c r="C162" s="151"/>
      <c r="D162" s="151"/>
      <c r="E162" s="151"/>
      <c r="F162" s="152">
        <f t="shared" si="15"/>
        <v>11400</v>
      </c>
      <c r="G162" s="152"/>
      <c r="H162" s="24" t="str">
        <f t="shared" si="16"/>
        <v>разово</v>
      </c>
      <c r="I162" s="153">
        <f>VLOOKUP(A162,$A$28:$J$72,9,FALSE)</f>
        <v>5</v>
      </c>
      <c r="J162" s="153"/>
      <c r="M162" s="22" t="s">
        <v>72</v>
      </c>
      <c r="N162" s="1" t="str">
        <f>ПТО!A6</f>
        <v>Вывоз снега с придомовой территории.</v>
      </c>
    </row>
    <row r="163" spans="1:14" ht="28.5" customHeight="1">
      <c r="A163" s="151" t="str">
        <f t="shared" si="14"/>
        <v>Изготовление и монтаж металлической двери.</v>
      </c>
      <c r="B163" s="151"/>
      <c r="C163" s="151"/>
      <c r="D163" s="151"/>
      <c r="E163" s="151"/>
      <c r="F163" s="152">
        <f t="shared" si="15"/>
        <v>27500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f>ПТО!A7</f>
        <v>Изготовление и монтаж металлической двери.</v>
      </c>
    </row>
    <row r="164" spans="1:14" ht="28.5" customHeight="1">
      <c r="A164" s="151" t="str">
        <f t="shared" ref="A164:A187" si="18">IF(N164&gt;0,N164,0)</f>
        <v>Генеральная уборка подъезда в мае.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3950</v>
      </c>
      <c r="G164" s="152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f>ПТО!A8</f>
        <v>Генеральная уборка подъезда в мае.</v>
      </c>
    </row>
    <row r="165" spans="1:14" ht="28.5" customHeight="1">
      <c r="A165" s="151" t="str">
        <f t="shared" si="18"/>
        <v>Установка манометров МП 10 в тепловом пункте.</v>
      </c>
      <c r="B165" s="151"/>
      <c r="C165" s="151"/>
      <c r="D165" s="151"/>
      <c r="E165" s="151"/>
      <c r="F165" s="152">
        <f t="shared" si="19"/>
        <v>1300</v>
      </c>
      <c r="G165" s="152"/>
      <c r="H165" s="29" t="str">
        <f t="shared" si="16"/>
        <v>разово</v>
      </c>
      <c r="I165" s="153">
        <f t="shared" si="20"/>
        <v>5</v>
      </c>
      <c r="J165" s="153"/>
      <c r="M165" s="22" t="s">
        <v>72</v>
      </c>
      <c r="N165" s="1" t="str">
        <f>ПТО!A9</f>
        <v>Установка манометров МП 10 в тепловом пункте.</v>
      </c>
    </row>
    <row r="166" spans="1:14" ht="28.5" customHeight="1">
      <c r="A166" s="151" t="str">
        <f t="shared" si="18"/>
        <v>Изготовление и монтаж табличек "Выгул собак запрещен".</v>
      </c>
      <c r="B166" s="151"/>
      <c r="C166" s="151"/>
      <c r="D166" s="151"/>
      <c r="E166" s="151"/>
      <c r="F166" s="152">
        <f t="shared" si="19"/>
        <v>1125</v>
      </c>
      <c r="G166" s="152"/>
      <c r="H166" s="29" t="str">
        <f t="shared" si="16"/>
        <v>разово</v>
      </c>
      <c r="I166" s="153">
        <f t="shared" si="20"/>
        <v>4</v>
      </c>
      <c r="J166" s="153"/>
      <c r="M166" s="22" t="s">
        <v>72</v>
      </c>
      <c r="N166" s="1" t="str">
        <f>ПТО!A10</f>
        <v>Изготовление и монтаж табличек "Выгул собак запрещен".</v>
      </c>
    </row>
    <row r="167" spans="1:14" ht="28.5" customHeight="1">
      <c r="A167" s="151" t="str">
        <f t="shared" si="18"/>
        <v>Установка светодиодного светильника.</v>
      </c>
      <c r="B167" s="151"/>
      <c r="C167" s="151"/>
      <c r="D167" s="151"/>
      <c r="E167" s="151"/>
      <c r="F167" s="152">
        <f t="shared" si="19"/>
        <v>2000</v>
      </c>
      <c r="G167" s="152"/>
      <c r="H167" s="29" t="str">
        <f t="shared" si="16"/>
        <v>разово</v>
      </c>
      <c r="I167" s="153">
        <f t="shared" si="20"/>
        <v>1</v>
      </c>
      <c r="J167" s="153"/>
      <c r="M167" s="22" t="s">
        <v>72</v>
      </c>
      <c r="N167" s="1" t="str">
        <f>ПТО!A11</f>
        <v>Установка светодиодного светильника.</v>
      </c>
    </row>
    <row r="168" spans="1:14" ht="28.5" customHeight="1">
      <c r="A168" s="151" t="str">
        <f t="shared" si="18"/>
        <v>Приобретение и установка парковочных столбиков возле подъезда.</v>
      </c>
      <c r="B168" s="151"/>
      <c r="C168" s="151"/>
      <c r="D168" s="151"/>
      <c r="E168" s="151"/>
      <c r="F168" s="152">
        <f t="shared" si="19"/>
        <v>4505.63</v>
      </c>
      <c r="G168" s="152"/>
      <c r="H168" s="29" t="str">
        <f t="shared" si="16"/>
        <v>разово</v>
      </c>
      <c r="I168" s="153">
        <f t="shared" si="20"/>
        <v>3</v>
      </c>
      <c r="J168" s="153"/>
      <c r="M168" s="22" t="s">
        <v>72</v>
      </c>
      <c r="N168" s="1" t="str">
        <f>ПТО!A12</f>
        <v>Приобретение и установка парковочных столбиков возле подъезда.</v>
      </c>
    </row>
    <row r="169" spans="1:14" ht="28.5" customHeight="1">
      <c r="A169" s="151" t="str">
        <f t="shared" si="18"/>
        <v>Замена блока управления домофоном.</v>
      </c>
      <c r="B169" s="151"/>
      <c r="C169" s="151"/>
      <c r="D169" s="151"/>
      <c r="E169" s="151"/>
      <c r="F169" s="152">
        <f t="shared" si="19"/>
        <v>3500</v>
      </c>
      <c r="G169" s="152"/>
      <c r="H169" s="29" t="str">
        <f t="shared" si="16"/>
        <v>разово</v>
      </c>
      <c r="I169" s="153">
        <f t="shared" si="20"/>
        <v>1</v>
      </c>
      <c r="J169" s="153"/>
      <c r="M169" s="22" t="s">
        <v>72</v>
      </c>
      <c r="N169" s="1" t="str">
        <f>ПТО!A13</f>
        <v>Замена блока управления домофоном.</v>
      </c>
    </row>
    <row r="170" spans="1:14" ht="28.5" customHeight="1">
      <c r="A170" s="151" t="str">
        <f t="shared" si="18"/>
        <v>Благоустройство территории (посадка цветов).</v>
      </c>
      <c r="B170" s="151"/>
      <c r="C170" s="151"/>
      <c r="D170" s="151"/>
      <c r="E170" s="151"/>
      <c r="F170" s="152">
        <f t="shared" si="19"/>
        <v>800</v>
      </c>
      <c r="G170" s="152"/>
      <c r="H170" s="29" t="str">
        <f t="shared" si="16"/>
        <v>разово</v>
      </c>
      <c r="I170" s="153">
        <f t="shared" si="20"/>
        <v>1</v>
      </c>
      <c r="J170" s="153"/>
      <c r="M170" s="22" t="s">
        <v>72</v>
      </c>
      <c r="N170" s="1" t="str">
        <f>ПТО!A14</f>
        <v>Благоустройство территории (посадка цветов).</v>
      </c>
    </row>
    <row r="171" spans="1:14" ht="28.5" customHeight="1">
      <c r="A171" s="151" t="str">
        <f t="shared" si="18"/>
        <v>Изготовление и монтаж решетчатой двери.</v>
      </c>
      <c r="B171" s="151"/>
      <c r="C171" s="151"/>
      <c r="D171" s="151"/>
      <c r="E171" s="151"/>
      <c r="F171" s="152">
        <f t="shared" si="19"/>
        <v>14730</v>
      </c>
      <c r="G171" s="152"/>
      <c r="H171" s="29" t="str">
        <f t="shared" si="16"/>
        <v>разово</v>
      </c>
      <c r="I171" s="153">
        <f t="shared" si="20"/>
        <v>1</v>
      </c>
      <c r="J171" s="153"/>
      <c r="M171" s="22" t="s">
        <v>72</v>
      </c>
      <c r="N171" s="1" t="str">
        <f>ПТО!A15</f>
        <v>Изготовление и монтаж решетчатой двери.</v>
      </c>
    </row>
    <row r="172" spans="1:14" ht="28.5" customHeight="1">
      <c r="A172" s="151" t="str">
        <f t="shared" si="18"/>
        <v>Генеральная уборка подъезда в октябре.</v>
      </c>
      <c r="B172" s="151"/>
      <c r="C172" s="151"/>
      <c r="D172" s="151"/>
      <c r="E172" s="151"/>
      <c r="F172" s="152">
        <f t="shared" si="19"/>
        <v>3471</v>
      </c>
      <c r="G172" s="152"/>
      <c r="H172" s="29" t="str">
        <f t="shared" si="16"/>
        <v>разово</v>
      </c>
      <c r="I172" s="153">
        <f t="shared" si="20"/>
        <v>1</v>
      </c>
      <c r="J172" s="153"/>
      <c r="M172" s="22" t="s">
        <v>72</v>
      </c>
      <c r="N172" s="1" t="str">
        <f>ПТО!A16</f>
        <v>Генеральная уборка подъезда в октябре.</v>
      </c>
    </row>
    <row r="173" spans="1:14" ht="28.5" customHeight="1">
      <c r="A173" s="151" t="str">
        <f t="shared" si="18"/>
        <v>Установка и приобретение дорожных знаков.</v>
      </c>
      <c r="B173" s="151"/>
      <c r="C173" s="151"/>
      <c r="D173" s="151"/>
      <c r="E173" s="151"/>
      <c r="F173" s="152">
        <f t="shared" si="19"/>
        <v>1080</v>
      </c>
      <c r="G173" s="152"/>
      <c r="H173" s="29" t="str">
        <f t="shared" si="16"/>
        <v>разово</v>
      </c>
      <c r="I173" s="153">
        <f t="shared" si="20"/>
        <v>2</v>
      </c>
      <c r="J173" s="153"/>
      <c r="M173" s="22" t="s">
        <v>72</v>
      </c>
      <c r="N173" s="1" t="str">
        <f>ПТО!A17</f>
        <v>Установка и приобретение дорожных знаков.</v>
      </c>
    </row>
    <row r="174" spans="1:14" ht="28.5" customHeight="1">
      <c r="A174" s="151" t="str">
        <f t="shared" si="18"/>
        <v>Прочистка канализационной сети.</v>
      </c>
      <c r="B174" s="151"/>
      <c r="C174" s="151"/>
      <c r="D174" s="151"/>
      <c r="E174" s="151"/>
      <c r="F174" s="152">
        <f t="shared" si="19"/>
        <v>2849</v>
      </c>
      <c r="G174" s="152"/>
      <c r="H174" s="29" t="str">
        <f t="shared" si="16"/>
        <v>разово</v>
      </c>
      <c r="I174" s="153">
        <f t="shared" si="20"/>
        <v>1</v>
      </c>
      <c r="J174" s="153"/>
      <c r="M174" s="22" t="s">
        <v>72</v>
      </c>
      <c r="N174" s="1" t="str">
        <f>ПТО!A18</f>
        <v>Прочистка канализационной сети.</v>
      </c>
    </row>
    <row r="175" spans="1:14" ht="28.5" customHeight="1">
      <c r="A175" s="151" t="str">
        <f t="shared" si="18"/>
        <v>Установка гирлянд над подъездом.</v>
      </c>
      <c r="B175" s="151"/>
      <c r="C175" s="151"/>
      <c r="D175" s="151"/>
      <c r="E175" s="151"/>
      <c r="F175" s="152">
        <f t="shared" si="19"/>
        <v>1061</v>
      </c>
      <c r="G175" s="152"/>
      <c r="H175" s="29" t="str">
        <f t="shared" si="16"/>
        <v>разово</v>
      </c>
      <c r="I175" s="153">
        <f t="shared" si="20"/>
        <v>1</v>
      </c>
      <c r="J175" s="153"/>
      <c r="M175" s="22" t="s">
        <v>72</v>
      </c>
      <c r="N175" s="1" t="str">
        <f>ПТО!A19</f>
        <v>Установка гирлянд над подъездом.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f>ПТО!A20</f>
        <v>0</v>
      </c>
    </row>
    <row r="177" spans="1:13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</row>
    <row r="178" spans="1:13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</row>
    <row r="179" spans="1:13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</row>
    <row r="180" spans="1:13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</row>
    <row r="181" spans="1:13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</row>
    <row r="182" spans="1:13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</row>
    <row r="183" spans="1:13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</row>
    <row r="184" spans="1:13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</row>
    <row r="185" spans="1:13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</row>
    <row r="186" spans="1:13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</row>
    <row r="187" spans="1:13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</row>
    <row r="188" spans="1:13" ht="29.25" customHeight="1">
      <c r="A188" s="104" t="s">
        <v>173</v>
      </c>
    </row>
    <row r="189" spans="1:13" ht="29.25" customHeight="1">
      <c r="A189" s="104" t="s">
        <v>173</v>
      </c>
    </row>
    <row r="190" spans="1:13" ht="36.75" customHeight="1">
      <c r="A190" s="154" t="s">
        <v>192</v>
      </c>
      <c r="B190" s="154"/>
      <c r="C190" s="154"/>
      <c r="D190" s="154"/>
      <c r="E190" s="27">
        <f>SUM(F158:G187)</f>
        <v>135910.63</v>
      </c>
    </row>
    <row r="191" spans="1:13" ht="51.75" customHeight="1">
      <c r="A191" s="154" t="s">
        <v>193</v>
      </c>
      <c r="B191" s="154"/>
      <c r="C191" s="154"/>
      <c r="D191" s="154"/>
      <c r="E191" s="27">
        <f>E190+E154-E155</f>
        <v>-18430.420000000013</v>
      </c>
    </row>
    <row r="192" spans="1:13">
      <c r="A192" s="104" t="s">
        <v>173</v>
      </c>
    </row>
    <row r="193" spans="1:10" ht="62.25" customHeight="1">
      <c r="A193" s="179" t="s">
        <v>194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ПТО!F22</f>
        <v xml:space="preserve"> - техническое освидетельствование лифта</v>
      </c>
      <c r="B194" s="178"/>
      <c r="C194" s="178"/>
      <c r="D194" s="178"/>
      <c r="E194" s="178"/>
      <c r="F194" s="178"/>
      <c r="G194" s="178"/>
      <c r="H194" s="49">
        <f>ПТО!G22</f>
        <v>8100</v>
      </c>
      <c r="I194" s="50" t="s">
        <v>74</v>
      </c>
    </row>
    <row r="195" spans="1:10" ht="18.75" customHeight="1">
      <c r="A195" s="178" t="str">
        <f>ПТО!F23</f>
        <v xml:space="preserve"> - тех. обслуживание охранной сигнализации</v>
      </c>
      <c r="B195" s="178"/>
      <c r="C195" s="178"/>
      <c r="D195" s="178"/>
      <c r="E195" s="178"/>
      <c r="F195" s="178"/>
      <c r="G195" s="178"/>
      <c r="H195" s="49">
        <f>ПТО!G23</f>
        <v>25000</v>
      </c>
      <c r="I195" s="50" t="s">
        <v>74</v>
      </c>
    </row>
    <row r="196" spans="1:10" ht="18.75" customHeight="1">
      <c r="A196" s="178" t="str">
        <f>ПТО!F24</f>
        <v xml:space="preserve"> - поверка (замена) манометров и термометров</v>
      </c>
      <c r="B196" s="178"/>
      <c r="C196" s="178"/>
      <c r="D196" s="178"/>
      <c r="E196" s="178"/>
      <c r="F196" s="178"/>
      <c r="G196" s="178"/>
      <c r="H196" s="49">
        <f>ПТО!G24</f>
        <v>1200</v>
      </c>
      <c r="I196" s="50" t="s">
        <v>74</v>
      </c>
    </row>
    <row r="197" spans="1:10" ht="18.75" customHeight="1">
      <c r="A197" s="178" t="str">
        <f>ПТО!F25</f>
        <v xml:space="preserve"> - обслуживание ТП и кабельных линий</v>
      </c>
      <c r="B197" s="178"/>
      <c r="C197" s="178"/>
      <c r="D197" s="178"/>
      <c r="E197" s="178"/>
      <c r="F197" s="178"/>
      <c r="G197" s="178"/>
      <c r="H197" s="49">
        <f>ПТО!G25</f>
        <v>6000</v>
      </c>
      <c r="I197" s="50" t="s">
        <v>74</v>
      </c>
    </row>
    <row r="198" spans="1:10" ht="18.75" customHeight="1">
      <c r="A198" s="178" t="str">
        <f>ПТО!F26</f>
        <v xml:space="preserve"> - передача бесхозных инженерных сетей</v>
      </c>
      <c r="B198" s="178"/>
      <c r="C198" s="178"/>
      <c r="D198" s="178"/>
      <c r="E198" s="178"/>
      <c r="F198" s="178"/>
      <c r="G198" s="178"/>
      <c r="H198" s="49">
        <f>ПТО!G26</f>
        <v>5000</v>
      </c>
      <c r="I198" s="52" t="s">
        <v>74</v>
      </c>
    </row>
    <row r="199" spans="1:10" ht="18.75" customHeight="1">
      <c r="A199" s="178" t="str">
        <f>ПТО!F27</f>
        <v xml:space="preserve"> - непредвиденные затраты (компенсаторы, арматура, эл.арматура, замки и т.д.)</v>
      </c>
      <c r="B199" s="178"/>
      <c r="C199" s="178"/>
      <c r="D199" s="178"/>
      <c r="E199" s="178"/>
      <c r="F199" s="178"/>
      <c r="G199" s="178"/>
      <c r="H199" s="49">
        <f>ПТО!G27</f>
        <v>5000</v>
      </c>
      <c r="I199" s="50" t="s">
        <v>74</v>
      </c>
    </row>
    <row r="200" spans="1:10">
      <c r="A200" s="178" t="str">
        <f>ПТО!F28</f>
        <v xml:space="preserve"> - работы по выбору (решению) общего собрания или совета дома</v>
      </c>
      <c r="B200" s="178"/>
      <c r="C200" s="178"/>
      <c r="D200" s="178"/>
      <c r="E200" s="178"/>
      <c r="F200" s="178"/>
      <c r="G200" s="178"/>
      <c r="H200" s="49">
        <f>ПТО!G28</f>
        <v>113373</v>
      </c>
      <c r="I200" s="50" t="s">
        <v>74</v>
      </c>
    </row>
    <row r="201" spans="1:10" hidden="1">
      <c r="A201" s="178">
        <f>ПТО!F29</f>
        <v>0</v>
      </c>
      <c r="B201" s="178"/>
      <c r="C201" s="178"/>
      <c r="D201" s="178"/>
      <c r="E201" s="178"/>
      <c r="F201" s="178"/>
      <c r="G201" s="178"/>
      <c r="H201" s="49">
        <f>ПТО!G29</f>
        <v>0</v>
      </c>
      <c r="I201" s="50" t="s">
        <v>74</v>
      </c>
    </row>
    <row r="202" spans="1:10" hidden="1">
      <c r="A202" s="178">
        <f>ПТО!F30</f>
        <v>0</v>
      </c>
      <c r="B202" s="178"/>
      <c r="C202" s="178"/>
      <c r="D202" s="178"/>
      <c r="E202" s="178"/>
      <c r="F202" s="178"/>
      <c r="G202" s="178"/>
      <c r="H202" s="49">
        <f>ПТО!G30</f>
        <v>0</v>
      </c>
      <c r="I202" s="50" t="s">
        <v>74</v>
      </c>
    </row>
    <row r="203" spans="1:10" hidden="1">
      <c r="A203" s="178">
        <f>ПТО!F31</f>
        <v>0</v>
      </c>
      <c r="B203" s="178"/>
      <c r="C203" s="178"/>
      <c r="D203" s="178"/>
      <c r="E203" s="178"/>
      <c r="F203" s="178"/>
      <c r="G203" s="178"/>
      <c r="H203" s="49">
        <f>ПТО!G31</f>
        <v>0</v>
      </c>
      <c r="I203" s="50" t="s">
        <v>74</v>
      </c>
    </row>
    <row r="204" spans="1:10" hidden="1">
      <c r="A204" s="178">
        <f>ПТО!F32</f>
        <v>0</v>
      </c>
      <c r="B204" s="178"/>
      <c r="C204" s="178"/>
      <c r="D204" s="178"/>
      <c r="E204" s="178"/>
      <c r="F204" s="178"/>
      <c r="G204" s="178"/>
      <c r="H204" s="49">
        <f>ПТО!G32</f>
        <v>0</v>
      </c>
      <c r="I204" s="50" t="s">
        <v>74</v>
      </c>
    </row>
    <row r="205" spans="1:10" hidden="1">
      <c r="A205" s="178">
        <f>ПТО!F33</f>
        <v>0</v>
      </c>
      <c r="B205" s="178"/>
      <c r="C205" s="178"/>
      <c r="D205" s="178"/>
      <c r="E205" s="178"/>
      <c r="F205" s="178"/>
      <c r="G205" s="178"/>
      <c r="H205" s="49">
        <f>ПТО!G33</f>
        <v>0</v>
      </c>
      <c r="I205" s="50" t="s">
        <v>74</v>
      </c>
    </row>
    <row r="206" spans="1:10" hidden="1">
      <c r="A206" s="178">
        <f>ПТО!F34</f>
        <v>0</v>
      </c>
      <c r="B206" s="178"/>
      <c r="C206" s="178"/>
      <c r="D206" s="178"/>
      <c r="E206" s="178"/>
      <c r="F206" s="178"/>
      <c r="G206" s="178"/>
      <c r="H206" s="49">
        <f>ПТО!G34</f>
        <v>0</v>
      </c>
      <c r="I206" s="50" t="s">
        <v>74</v>
      </c>
    </row>
    <row r="207" spans="1:10" hidden="1">
      <c r="A207" s="178">
        <f>ПТО!F35</f>
        <v>0</v>
      </c>
      <c r="B207" s="178"/>
      <c r="C207" s="178"/>
      <c r="D207" s="178"/>
      <c r="E207" s="178"/>
      <c r="F207" s="178"/>
      <c r="G207" s="178"/>
      <c r="H207" s="49">
        <f>ПТО!G35</f>
        <v>0</v>
      </c>
      <c r="I207" s="50" t="s">
        <v>74</v>
      </c>
    </row>
    <row r="208" spans="1:10" hidden="1">
      <c r="A208" s="178">
        <f>ПТО!F36</f>
        <v>0</v>
      </c>
      <c r="B208" s="178"/>
      <c r="C208" s="178"/>
      <c r="D208" s="178"/>
      <c r="E208" s="178"/>
      <c r="F208" s="178"/>
      <c r="G208" s="178"/>
      <c r="H208" s="49">
        <f>ПТО!G36</f>
        <v>0</v>
      </c>
      <c r="I208" s="50" t="s">
        <v>74</v>
      </c>
    </row>
    <row r="209" spans="1:9" hidden="1">
      <c r="A209" s="178">
        <f>ПТО!F37</f>
        <v>0</v>
      </c>
      <c r="B209" s="178"/>
      <c r="C209" s="178"/>
      <c r="D209" s="178"/>
      <c r="E209" s="178"/>
      <c r="F209" s="178"/>
      <c r="G209" s="178"/>
      <c r="H209" s="49">
        <f>ПТО!G37</f>
        <v>0</v>
      </c>
      <c r="I209" s="50" t="s">
        <v>74</v>
      </c>
    </row>
    <row r="210" spans="1:9" hidden="1">
      <c r="A210" s="178">
        <f>ПТО!F38</f>
        <v>0</v>
      </c>
      <c r="B210" s="178"/>
      <c r="C210" s="178"/>
      <c r="D210" s="178"/>
      <c r="E210" s="178"/>
      <c r="F210" s="178"/>
      <c r="G210" s="178"/>
      <c r="H210" s="49">
        <f>ПТО!G38</f>
        <v>0</v>
      </c>
      <c r="I210" s="50" t="s">
        <v>74</v>
      </c>
    </row>
    <row r="211" spans="1:9" hidden="1">
      <c r="A211" s="178">
        <f>ПТО!F39</f>
        <v>0</v>
      </c>
      <c r="B211" s="178"/>
      <c r="C211" s="178"/>
      <c r="D211" s="178"/>
      <c r="E211" s="178"/>
      <c r="F211" s="178"/>
      <c r="G211" s="178"/>
      <c r="H211" s="49">
        <f>ПТО!G39</f>
        <v>0</v>
      </c>
      <c r="I211" s="50" t="s">
        <v>74</v>
      </c>
    </row>
    <row r="212" spans="1:9" hidden="1">
      <c r="A212" s="178">
        <f>ПТО!F40</f>
        <v>0</v>
      </c>
      <c r="B212" s="178"/>
      <c r="C212" s="178"/>
      <c r="D212" s="178"/>
      <c r="E212" s="178"/>
      <c r="F212" s="178"/>
      <c r="G212" s="178"/>
      <c r="H212" s="49">
        <f>ПТО!G40</f>
        <v>0</v>
      </c>
      <c r="I212" s="50" t="s">
        <v>74</v>
      </c>
    </row>
    <row r="213" spans="1:9" hidden="1">
      <c r="A213" s="178">
        <f>ПТО!F41</f>
        <v>0</v>
      </c>
      <c r="B213" s="178"/>
      <c r="C213" s="178"/>
      <c r="D213" s="178"/>
      <c r="E213" s="178"/>
      <c r="F213" s="178"/>
      <c r="G213" s="178"/>
      <c r="H213" s="49">
        <f>ПТО!G41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163673</v>
      </c>
      <c r="I214" s="56" t="s">
        <v>76</v>
      </c>
    </row>
  </sheetData>
  <sheetProtection algorithmName="SHA-512" hashValue="TmKGuy3fgWbZtJ8UIqI80l4Bsa5bWmJXiPDGXSmWE+NRuIR0P0Gkym+7tm6BPUwXdGUwP/VdhD93gnL2rtujxw==" saltValue="cGhjXQDaACs2dyBf7gb3Tg==" spinCount="100000" sheet="1" selectLockedCells="1" selectUnlockedCells="1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5"/>
  <sheetViews>
    <sheetView workbookViewId="0">
      <selection activeCell="D2" sqref="D2:D1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190</v>
      </c>
      <c r="G1" s="101">
        <v>-9097.85</v>
      </c>
    </row>
    <row r="2" spans="1:12" ht="18.75" customHeight="1">
      <c r="A2" s="138" t="s">
        <v>198</v>
      </c>
      <c r="B2" s="119" t="s">
        <v>180</v>
      </c>
      <c r="C2" s="143">
        <v>1</v>
      </c>
      <c r="D2" s="148">
        <v>29431</v>
      </c>
      <c r="E2" t="s">
        <v>213</v>
      </c>
      <c r="F2" s="32"/>
      <c r="G2" s="32"/>
      <c r="L2" s="33" t="str">
        <f t="shared" ref="L2:L26" si="0">IF(A2&gt;0,"ТР",0)</f>
        <v>ТР</v>
      </c>
    </row>
    <row r="3" spans="1:12" ht="18.75" customHeight="1">
      <c r="A3" s="139" t="s">
        <v>73</v>
      </c>
      <c r="B3" s="119" t="s">
        <v>181</v>
      </c>
      <c r="C3" s="127">
        <v>1</v>
      </c>
      <c r="D3" s="132">
        <v>8100</v>
      </c>
      <c r="E3"/>
      <c r="F3" s="30"/>
      <c r="G3" s="30"/>
      <c r="L3" s="33" t="str">
        <f t="shared" si="0"/>
        <v>ТР</v>
      </c>
    </row>
    <row r="4" spans="1:12" ht="18.75" customHeight="1">
      <c r="A4" s="139" t="s">
        <v>178</v>
      </c>
      <c r="B4" s="117" t="s">
        <v>182</v>
      </c>
      <c r="C4" s="127">
        <v>12</v>
      </c>
      <c r="D4" s="133">
        <f>1000*12</f>
        <v>12000</v>
      </c>
      <c r="E4"/>
      <c r="F4" s="30"/>
      <c r="G4" s="30"/>
      <c r="L4" s="33" t="str">
        <f t="shared" si="0"/>
        <v>ТР</v>
      </c>
    </row>
    <row r="5" spans="1:12" ht="18.75" customHeight="1">
      <c r="A5" s="140" t="s">
        <v>199</v>
      </c>
      <c r="B5" s="117"/>
      <c r="C5" s="122">
        <v>1</v>
      </c>
      <c r="D5" s="133">
        <v>7108</v>
      </c>
      <c r="E5" t="s">
        <v>214</v>
      </c>
      <c r="F5" s="44"/>
      <c r="G5" s="44"/>
      <c r="K5" s="46"/>
      <c r="L5" s="33" t="str">
        <f t="shared" si="0"/>
        <v>ТР</v>
      </c>
    </row>
    <row r="6" spans="1:12" ht="18.75" customHeight="1">
      <c r="A6" s="124" t="s">
        <v>179</v>
      </c>
      <c r="B6" s="117" t="s">
        <v>182</v>
      </c>
      <c r="C6" s="128">
        <v>5</v>
      </c>
      <c r="D6" s="133">
        <v>11400</v>
      </c>
      <c r="E6" t="s">
        <v>227</v>
      </c>
      <c r="F6" s="44"/>
      <c r="G6" s="44"/>
      <c r="K6" s="46"/>
      <c r="L6" s="33" t="str">
        <f t="shared" si="0"/>
        <v>ТР</v>
      </c>
    </row>
    <row r="7" spans="1:12" ht="18.75" customHeight="1">
      <c r="A7" s="124" t="s">
        <v>200</v>
      </c>
      <c r="B7" s="117" t="s">
        <v>182</v>
      </c>
      <c r="C7" s="129">
        <v>1</v>
      </c>
      <c r="D7" s="134">
        <v>27500</v>
      </c>
      <c r="E7" s="121" t="s">
        <v>215</v>
      </c>
      <c r="F7" s="45"/>
      <c r="G7" s="45"/>
      <c r="K7" s="46"/>
      <c r="L7" s="33" t="str">
        <f t="shared" si="0"/>
        <v>ТР</v>
      </c>
    </row>
    <row r="8" spans="1:12" ht="18.75" customHeight="1">
      <c r="A8" s="124" t="s">
        <v>201</v>
      </c>
      <c r="B8" s="118" t="s">
        <v>182</v>
      </c>
      <c r="C8" s="144">
        <v>1</v>
      </c>
      <c r="D8" s="132">
        <v>3950</v>
      </c>
      <c r="E8" t="s">
        <v>216</v>
      </c>
      <c r="F8" s="45"/>
      <c r="G8" s="45"/>
      <c r="K8" s="43"/>
      <c r="L8" s="33" t="str">
        <f t="shared" si="0"/>
        <v>ТР</v>
      </c>
    </row>
    <row r="9" spans="1:12">
      <c r="A9" s="125" t="s">
        <v>202</v>
      </c>
      <c r="B9" s="120" t="s">
        <v>182</v>
      </c>
      <c r="C9" s="130">
        <v>5</v>
      </c>
      <c r="D9" s="135">
        <v>1300</v>
      </c>
      <c r="E9" s="136" t="s">
        <v>217</v>
      </c>
      <c r="F9" s="44"/>
      <c r="G9" s="44"/>
      <c r="K9" s="43"/>
      <c r="L9" s="33" t="str">
        <f t="shared" si="0"/>
        <v>ТР</v>
      </c>
    </row>
    <row r="10" spans="1:12" ht="30">
      <c r="A10" s="126" t="s">
        <v>203</v>
      </c>
      <c r="B10" s="120" t="s">
        <v>182</v>
      </c>
      <c r="C10" s="122">
        <v>4</v>
      </c>
      <c r="D10" s="133">
        <v>1125</v>
      </c>
      <c r="E10" t="s">
        <v>218</v>
      </c>
      <c r="F10" s="123"/>
      <c r="L10" s="33" t="str">
        <f t="shared" si="0"/>
        <v>ТР</v>
      </c>
    </row>
    <row r="11" spans="1:12">
      <c r="A11" s="141" t="s">
        <v>204</v>
      </c>
      <c r="B11" s="120" t="s">
        <v>182</v>
      </c>
      <c r="C11" s="145">
        <v>1</v>
      </c>
      <c r="D11" s="149">
        <v>2000</v>
      </c>
      <c r="E11" s="147" t="s">
        <v>219</v>
      </c>
      <c r="L11" s="33" t="str">
        <f t="shared" si="0"/>
        <v>ТР</v>
      </c>
    </row>
    <row r="12" spans="1:12" ht="30">
      <c r="A12" s="126" t="s">
        <v>205</v>
      </c>
      <c r="B12" s="120" t="s">
        <v>182</v>
      </c>
      <c r="C12" s="122">
        <v>3</v>
      </c>
      <c r="D12" s="134">
        <f>3686.43+819.2</f>
        <v>4505.63</v>
      </c>
      <c r="E12" s="121" t="s">
        <v>220</v>
      </c>
      <c r="L12" s="33" t="str">
        <f t="shared" si="0"/>
        <v>ТР</v>
      </c>
    </row>
    <row r="13" spans="1:12">
      <c r="A13" s="124" t="s">
        <v>206</v>
      </c>
      <c r="B13" s="120" t="s">
        <v>182</v>
      </c>
      <c r="C13" s="131">
        <v>1</v>
      </c>
      <c r="D13" s="132">
        <v>3500</v>
      </c>
      <c r="E13" s="121" t="s">
        <v>221</v>
      </c>
      <c r="L13" s="33" t="str">
        <f t="shared" si="0"/>
        <v>ТР</v>
      </c>
    </row>
    <row r="14" spans="1:12">
      <c r="A14" s="124" t="s">
        <v>207</v>
      </c>
      <c r="B14" s="120" t="s">
        <v>182</v>
      </c>
      <c r="C14" s="131">
        <v>1</v>
      </c>
      <c r="D14" s="132">
        <v>800</v>
      </c>
      <c r="E14" s="121" t="s">
        <v>222</v>
      </c>
      <c r="L14" s="33" t="str">
        <f t="shared" si="0"/>
        <v>ТР</v>
      </c>
    </row>
    <row r="15" spans="1:12">
      <c r="A15" s="124" t="s">
        <v>208</v>
      </c>
      <c r="B15" s="120" t="s">
        <v>182</v>
      </c>
      <c r="C15" s="131">
        <v>1</v>
      </c>
      <c r="D15" s="132">
        <v>14730</v>
      </c>
      <c r="E15" s="121" t="s">
        <v>223</v>
      </c>
      <c r="L15" s="33" t="str">
        <f t="shared" si="0"/>
        <v>ТР</v>
      </c>
    </row>
    <row r="16" spans="1:12">
      <c r="A16" s="124" t="s">
        <v>209</v>
      </c>
      <c r="B16" s="120" t="s">
        <v>182</v>
      </c>
      <c r="C16" s="131">
        <v>1</v>
      </c>
      <c r="D16" s="132">
        <v>3471</v>
      </c>
      <c r="E16" s="121" t="s">
        <v>224</v>
      </c>
      <c r="L16" s="33" t="str">
        <f t="shared" si="0"/>
        <v>ТР</v>
      </c>
    </row>
    <row r="17" spans="1:12">
      <c r="A17" s="124" t="s">
        <v>210</v>
      </c>
      <c r="B17" s="120" t="s">
        <v>182</v>
      </c>
      <c r="C17" s="131">
        <v>2</v>
      </c>
      <c r="D17" s="132">
        <v>1080</v>
      </c>
      <c r="E17" s="121" t="s">
        <v>224</v>
      </c>
      <c r="L17" s="33" t="str">
        <f t="shared" si="0"/>
        <v>ТР</v>
      </c>
    </row>
    <row r="18" spans="1:12">
      <c r="A18" s="124" t="s">
        <v>211</v>
      </c>
      <c r="B18" s="120" t="s">
        <v>182</v>
      </c>
      <c r="C18" s="131">
        <v>1</v>
      </c>
      <c r="D18" s="132">
        <v>2849</v>
      </c>
      <c r="E18" s="121" t="s">
        <v>225</v>
      </c>
      <c r="L18" s="33" t="str">
        <f t="shared" si="0"/>
        <v>ТР</v>
      </c>
    </row>
    <row r="19" spans="1:12" ht="15.75" thickBot="1">
      <c r="A19" s="142" t="s">
        <v>212</v>
      </c>
      <c r="B19" s="120" t="s">
        <v>182</v>
      </c>
      <c r="C19" s="146">
        <v>1</v>
      </c>
      <c r="D19" s="150">
        <v>1061</v>
      </c>
      <c r="E19" s="121" t="s">
        <v>226</v>
      </c>
      <c r="L19" s="33" t="str">
        <f t="shared" si="0"/>
        <v>ТР</v>
      </c>
    </row>
    <row r="20" spans="1:12" ht="15.75">
      <c r="F20" s="112"/>
      <c r="G20" s="113"/>
      <c r="L20" s="33" t="str">
        <f>IF(A19&gt;0,"ТР",0)</f>
        <v>ТР</v>
      </c>
    </row>
    <row r="21" spans="1:12" ht="94.5">
      <c r="A21" s="30"/>
      <c r="F21" s="111" t="s">
        <v>194</v>
      </c>
      <c r="G21" s="111"/>
      <c r="L21" s="33">
        <f t="shared" si="0"/>
        <v>0</v>
      </c>
    </row>
    <row r="22" spans="1:12">
      <c r="A22" s="30"/>
      <c r="F22" s="137" t="s">
        <v>184</v>
      </c>
      <c r="G22" s="41">
        <v>8100</v>
      </c>
      <c r="L22" s="33">
        <f t="shared" si="0"/>
        <v>0</v>
      </c>
    </row>
    <row r="23" spans="1:12">
      <c r="A23" s="30"/>
      <c r="F23" s="137" t="s">
        <v>185</v>
      </c>
      <c r="G23" s="41">
        <v>25000</v>
      </c>
      <c r="L23" s="33">
        <f t="shared" si="0"/>
        <v>0</v>
      </c>
    </row>
    <row r="24" spans="1:12">
      <c r="A24" s="30"/>
      <c r="F24" s="137" t="s">
        <v>186</v>
      </c>
      <c r="G24" s="41">
        <v>1200</v>
      </c>
      <c r="L24" s="33">
        <f t="shared" si="0"/>
        <v>0</v>
      </c>
    </row>
    <row r="25" spans="1:12">
      <c r="F25" s="137" t="s">
        <v>195</v>
      </c>
      <c r="G25" s="41">
        <v>6000</v>
      </c>
      <c r="L25" s="33">
        <f t="shared" si="0"/>
        <v>0</v>
      </c>
    </row>
    <row r="26" spans="1:12">
      <c r="F26" s="137" t="s">
        <v>196</v>
      </c>
      <c r="G26" s="41">
        <v>5000</v>
      </c>
      <c r="L26" s="33">
        <f t="shared" si="0"/>
        <v>0</v>
      </c>
    </row>
    <row r="27" spans="1:12">
      <c r="F27" s="137" t="s">
        <v>197</v>
      </c>
      <c r="G27" s="41">
        <v>5000</v>
      </c>
      <c r="L27" s="33">
        <f t="shared" ref="L27:L35" si="1">IF(A27&gt;0,"ТР",0)</f>
        <v>0</v>
      </c>
    </row>
    <row r="28" spans="1:12">
      <c r="F28" s="137" t="s">
        <v>187</v>
      </c>
      <c r="G28" s="41">
        <v>113373</v>
      </c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F31" s="103"/>
      <c r="L31" s="33">
        <f t="shared" si="1"/>
        <v>0</v>
      </c>
    </row>
    <row r="32" spans="1:12">
      <c r="F32" s="103"/>
      <c r="L32" s="33">
        <f t="shared" si="1"/>
        <v>0</v>
      </c>
    </row>
    <row r="33" spans="1:16">
      <c r="F33" s="103"/>
      <c r="L33" s="33">
        <f t="shared" si="1"/>
        <v>0</v>
      </c>
    </row>
    <row r="34" spans="1:16">
      <c r="F34" s="103"/>
      <c r="L34" s="33">
        <f t="shared" si="1"/>
        <v>0</v>
      </c>
    </row>
    <row r="35" spans="1:16">
      <c r="L35" s="33">
        <f t="shared" si="1"/>
        <v>0</v>
      </c>
    </row>
    <row r="36" spans="1:16" ht="36.75" customHeight="1">
      <c r="B36" s="35"/>
      <c r="C36" s="35"/>
      <c r="D36" s="35"/>
      <c r="H36" s="99"/>
      <c r="I36" s="99"/>
    </row>
    <row r="43" spans="1:16" ht="31.5" customHeight="1">
      <c r="A43" s="37" t="s">
        <v>22</v>
      </c>
      <c r="B43" s="38">
        <v>79157.52</v>
      </c>
      <c r="C43" s="38" t="s">
        <v>68</v>
      </c>
      <c r="D43" s="39">
        <v>12</v>
      </c>
      <c r="E43" s="34"/>
      <c r="J43" s="36"/>
      <c r="L43" s="40" t="str">
        <f>IF(A43&gt;0,"СОД",0)</f>
        <v>СОД</v>
      </c>
      <c r="M43" t="str">
        <f>A43</f>
        <v>Работы, выполняемые для надлежащего содержания внутридомовых инженерных систем и конструктивных элементов дома</v>
      </c>
      <c r="N43" s="41">
        <f>B43</f>
        <v>79157.52</v>
      </c>
      <c r="O43" s="41" t="str">
        <f>C43</f>
        <v>Ежемесячно</v>
      </c>
      <c r="P43">
        <f>D43</f>
        <v>12</v>
      </c>
    </row>
    <row r="44" spans="1:16" ht="31.5" customHeight="1">
      <c r="A44" s="37" t="s">
        <v>174</v>
      </c>
      <c r="B44" s="38">
        <v>54103.08</v>
      </c>
      <c r="C44" s="38" t="s">
        <v>68</v>
      </c>
      <c r="D44" s="39">
        <v>12</v>
      </c>
      <c r="E44" s="34"/>
      <c r="J44" s="36"/>
      <c r="L44" s="40" t="str">
        <f t="shared" ref="L44:L57" si="2">IF(A44&gt;0,"СОД",0)</f>
        <v>СОД</v>
      </c>
      <c r="M44" t="str">
        <f t="shared" ref="M44:M57" si="3">A44</f>
        <v>Работы по содержанию лифта (лифтов)</v>
      </c>
      <c r="N44" s="41">
        <f t="shared" ref="N44:N57" si="4">B44</f>
        <v>54103.08</v>
      </c>
      <c r="O44" s="41" t="str">
        <f t="shared" ref="O44:O57" si="5">C44</f>
        <v>Ежемесячно</v>
      </c>
      <c r="P44">
        <f t="shared" ref="P44:P57" si="6">D44</f>
        <v>12</v>
      </c>
    </row>
    <row r="45" spans="1:16" ht="51">
      <c r="A45" s="37" t="s">
        <v>26</v>
      </c>
      <c r="B45" s="38">
        <v>95497.44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5" s="41">
        <f t="shared" si="4"/>
        <v>95497.44</v>
      </c>
      <c r="O45" s="41" t="str">
        <f t="shared" si="5"/>
        <v>В соответствии с графиком</v>
      </c>
      <c r="P45">
        <f t="shared" si="6"/>
        <v>12</v>
      </c>
    </row>
    <row r="46" spans="1:16" ht="25.5">
      <c r="A46" s="37" t="s">
        <v>23</v>
      </c>
      <c r="B46" s="38">
        <v>42846.720000000001</v>
      </c>
      <c r="C46" s="38" t="s">
        <v>68</v>
      </c>
      <c r="D46" s="39">
        <v>12</v>
      </c>
      <c r="E46" s="34"/>
      <c r="J46" s="36"/>
      <c r="L46" s="40" t="str">
        <f t="shared" si="2"/>
        <v>СОД</v>
      </c>
      <c r="M46" t="str">
        <f t="shared" si="3"/>
        <v>Работы, выполняемые для надлежащего содержания электрооборудования дома</v>
      </c>
      <c r="N46" s="41">
        <f t="shared" si="4"/>
        <v>42846.720000000001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38"/>
      <c r="C47" s="38"/>
      <c r="D47" s="39"/>
      <c r="E47" s="34"/>
      <c r="J47" s="36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25.5">
      <c r="A48" s="37" t="s">
        <v>24</v>
      </c>
      <c r="B48" s="38">
        <v>38489.4</v>
      </c>
      <c r="C48" s="38" t="s">
        <v>70</v>
      </c>
      <c r="D48" s="39">
        <v>12</v>
      </c>
      <c r="E48" s="34"/>
      <c r="J48" s="36"/>
      <c r="L48" s="40" t="str">
        <f t="shared" si="2"/>
        <v>СОД</v>
      </c>
      <c r="M48" t="str">
        <f t="shared" si="3"/>
        <v>Обеспечение устранения аварий на внутридомовых инженерных системах в многоквартирном доме</v>
      </c>
      <c r="N48" s="41">
        <f t="shared" si="4"/>
        <v>38489.4</v>
      </c>
      <c r="O48" s="41" t="str">
        <f t="shared" si="5"/>
        <v>Круглосуточно</v>
      </c>
      <c r="P48">
        <f t="shared" si="6"/>
        <v>12</v>
      </c>
    </row>
    <row r="49" spans="1:16" ht="25.5">
      <c r="A49" s="37" t="s">
        <v>25</v>
      </c>
      <c r="B49" s="38">
        <v>134349.96</v>
      </c>
      <c r="C49" s="38" t="s">
        <v>69</v>
      </c>
      <c r="D49" s="39">
        <v>12</v>
      </c>
      <c r="E49" s="34"/>
      <c r="J49" s="36"/>
      <c r="L49" s="40" t="str">
        <f t="shared" si="2"/>
        <v>СОД</v>
      </c>
      <c r="M49" t="str">
        <f t="shared" si="3"/>
        <v>Работы по содержанию помещений, входящих в состав общего имущества в многоквартирном доме</v>
      </c>
      <c r="N49" s="41">
        <f t="shared" si="4"/>
        <v>134349.96</v>
      </c>
      <c r="O49" s="41" t="str">
        <f t="shared" si="5"/>
        <v>В соответствии с графиком</v>
      </c>
      <c r="P49">
        <f t="shared" si="6"/>
        <v>12</v>
      </c>
    </row>
    <row r="50" spans="1:16">
      <c r="A50" s="37" t="s">
        <v>175</v>
      </c>
      <c r="B50" s="38">
        <v>181554</v>
      </c>
      <c r="C50" s="38" t="s">
        <v>68</v>
      </c>
      <c r="D50" s="48">
        <v>12</v>
      </c>
      <c r="L50" s="40" t="str">
        <f t="shared" si="2"/>
        <v>СОД</v>
      </c>
      <c r="M50" t="str">
        <f t="shared" si="3"/>
        <v>Работы (услуги) по управлению многоквартирным домом</v>
      </c>
      <c r="N50" s="41">
        <f t="shared" si="4"/>
        <v>181554</v>
      </c>
      <c r="O50" s="41" t="str">
        <f t="shared" si="5"/>
        <v>Ежемесячно</v>
      </c>
      <c r="P50">
        <f t="shared" si="6"/>
        <v>12</v>
      </c>
    </row>
    <row r="51" spans="1:16">
      <c r="A51" s="37" t="s">
        <v>188</v>
      </c>
      <c r="B51" s="38">
        <v>54466.2</v>
      </c>
      <c r="C51" s="38" t="s">
        <v>189</v>
      </c>
      <c r="D51" s="48">
        <v>12</v>
      </c>
      <c r="L51" s="40" t="str">
        <f t="shared" si="2"/>
        <v>СОД</v>
      </c>
      <c r="M51" t="str">
        <f t="shared" si="3"/>
        <v>Работы по обеспечению вывоза бытовых отходов</v>
      </c>
      <c r="N51" s="41">
        <f t="shared" si="4"/>
        <v>54466.2</v>
      </c>
      <c r="O51" s="41" t="str">
        <f t="shared" si="5"/>
        <v>Ежедневно</v>
      </c>
      <c r="P51">
        <f t="shared" si="6"/>
        <v>12</v>
      </c>
    </row>
    <row r="52" spans="1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1:16">
      <c r="L54" s="40">
        <f t="shared" si="2"/>
        <v>0</v>
      </c>
      <c r="M54">
        <f t="shared" si="3"/>
        <v>0</v>
      </c>
      <c r="N54" s="41">
        <f t="shared" si="4"/>
        <v>0</v>
      </c>
      <c r="O54" s="41">
        <f t="shared" si="5"/>
        <v>0</v>
      </c>
      <c r="P54">
        <f t="shared" si="6"/>
        <v>0</v>
      </c>
    </row>
    <row r="55" spans="1:16">
      <c r="L55" s="40">
        <f t="shared" si="2"/>
        <v>0</v>
      </c>
      <c r="M55">
        <f t="shared" si="3"/>
        <v>0</v>
      </c>
      <c r="N55" s="41">
        <f t="shared" si="4"/>
        <v>0</v>
      </c>
      <c r="O55" s="41">
        <f t="shared" si="5"/>
        <v>0</v>
      </c>
      <c r="P55">
        <f t="shared" si="6"/>
        <v>0</v>
      </c>
    </row>
    <row r="56" spans="1:16">
      <c r="L56" s="40">
        <f t="shared" si="2"/>
        <v>0</v>
      </c>
      <c r="M56">
        <f t="shared" si="3"/>
        <v>0</v>
      </c>
      <c r="N56" s="41">
        <f t="shared" si="4"/>
        <v>0</v>
      </c>
      <c r="O56" s="41">
        <f t="shared" si="5"/>
        <v>0</v>
      </c>
      <c r="P56">
        <f t="shared" si="6"/>
        <v>0</v>
      </c>
    </row>
    <row r="57" spans="1:16">
      <c r="L57" s="40">
        <f t="shared" si="2"/>
        <v>0</v>
      </c>
      <c r="M57">
        <f t="shared" si="3"/>
        <v>0</v>
      </c>
      <c r="N57" s="41">
        <f t="shared" si="4"/>
        <v>0</v>
      </c>
      <c r="O57" s="41">
        <f t="shared" si="5"/>
        <v>0</v>
      </c>
      <c r="P57">
        <f t="shared" si="6"/>
        <v>0</v>
      </c>
    </row>
    <row r="69" spans="4:13" ht="18.75" customHeight="1"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4:13" ht="18.75" customHeight="1">
      <c r="D70" s="102"/>
      <c r="E70" s="49"/>
      <c r="F70" s="50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  <row r="72" spans="4:13" ht="18.75" customHeight="1">
      <c r="D72" s="102"/>
      <c r="E72" s="49"/>
      <c r="F72" s="50"/>
      <c r="G72" s="102"/>
      <c r="H72" s="102"/>
      <c r="I72" s="102"/>
      <c r="J72" s="102"/>
      <c r="M72" s="1"/>
    </row>
    <row r="73" spans="4:13" ht="18.75" customHeight="1">
      <c r="D73" s="102"/>
      <c r="E73" s="49"/>
      <c r="F73" s="50"/>
      <c r="G73" s="102"/>
      <c r="H73" s="102"/>
      <c r="I73" s="102"/>
      <c r="J73" s="102"/>
      <c r="M73" s="1"/>
    </row>
    <row r="74" spans="4:13" ht="18.75" customHeight="1">
      <c r="D74" s="102"/>
      <c r="E74" s="51"/>
      <c r="F74" s="52"/>
      <c r="G74" s="102"/>
      <c r="H74" s="102"/>
      <c r="I74" s="102"/>
      <c r="J74" s="102"/>
      <c r="M74" s="1"/>
    </row>
    <row r="75" spans="4:13" ht="18.75" customHeight="1">
      <c r="D75" s="102"/>
      <c r="E75" s="49"/>
      <c r="F75" s="50"/>
      <c r="G75" s="102"/>
      <c r="H75" s="102"/>
      <c r="I75" s="102"/>
      <c r="J75" s="102"/>
      <c r="M7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7" zoomScale="85" zoomScaleNormal="85" workbookViewId="0">
      <selection activeCell="D2" sqref="D2:D1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3026.4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288120.52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849559.56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704316.36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145243.2</f>
        <v>145243.20000000001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772521.57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772521.57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772521.57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365158.51000000013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104</v>
      </c>
      <c r="B27" s="75" t="s">
        <v>4</v>
      </c>
      <c r="C27" s="86">
        <v>282911.98</v>
      </c>
      <c r="D27" s="81" t="s">
        <v>60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107</v>
      </c>
      <c r="B30" s="75" t="s">
        <v>18</v>
      </c>
      <c r="C30" s="86">
        <v>349741.37</v>
      </c>
      <c r="D30" s="81" t="s">
        <v>66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39606.5</v>
      </c>
      <c r="F45" s="94" t="s">
        <v>166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3123.54</v>
      </c>
      <c r="D46" s="94" t="s">
        <v>167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36019.550000000003</v>
      </c>
      <c r="D47" s="94" t="s">
        <v>165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3586.9499999999971</v>
      </c>
      <c r="D48" s="80" t="s">
        <v>59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39606.5</v>
      </c>
      <c r="D49" s="80" t="s">
        <v>59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39606.5</v>
      </c>
      <c r="D50" s="80" t="s">
        <v>59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69444.75</v>
      </c>
      <c r="F53" s="94" t="s">
        <v>166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5113.75</v>
      </c>
      <c r="D54" s="94" t="s">
        <v>167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63155.51</v>
      </c>
      <c r="D55" s="94" t="s">
        <v>165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6289.239999999998</v>
      </c>
      <c r="D56" s="80" t="s">
        <v>59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69444.75</v>
      </c>
      <c r="D57" s="80" t="s">
        <v>59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69444.75</v>
      </c>
      <c r="D58" s="80" t="s">
        <v>59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2" sqref="D2:D19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3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25683.89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2020-07-14T02:48:51Z</dcterms:modified>
</cp:coreProperties>
</file>