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D3" i="2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98" i="1" l="1"/>
  <c r="F134" i="1"/>
  <c r="A94" i="1"/>
  <c r="A120" i="1"/>
  <c r="A141" i="1"/>
  <c r="A95" i="1"/>
  <c r="A99" i="1"/>
  <c r="D118" i="1"/>
  <c r="A124" i="1"/>
  <c r="D94" i="1"/>
  <c r="A96" i="1"/>
  <c r="A110" i="1"/>
  <c r="A111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<sst xmlns="http://schemas.openxmlformats.org/spreadsheetml/2006/main" count="541" uniqueCount="194">
  <si>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</si>
  <si>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</si>
  <si>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</si>
  <si>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</si>
  <si>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</si>
  <si>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</si>
  <si>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</si>
  <si>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</si>
  <si>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</si>
  <si>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</si>
  <si>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</si>
  <si>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</si>
  <si>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</si>
  <si>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</si>
  <si>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</si>
  <si>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</si>
  <si>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</si>
  <si>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</si>
  <si>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</si>
  <si>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</si>
  <si>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</si>
  <si>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</si>
  <si>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</si>
  <si>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</si>
  <si>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</si>
  <si>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</si>
  <si>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</si>
  <si>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</si>
  <si>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</si>
  <si>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</si>
  <si>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</si>
  <si>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</si>
  <si>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</si>
  <si>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</si>
  <si>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</si>
  <si>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</si>
  <si>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</si>
  <si>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</si>
  <si>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</si>
  <si>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</si>
  <si>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</si>
  <si>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</si>
  <si>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</si>
  <si>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</si>
  <si>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</si>
  <si>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</si>
  <si>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</si>
  <si>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</si>
  <si>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</si>
  <si>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</si>
  <si>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</si>
  <si>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</si>
  <si>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</si>
  <si>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</si>
  <si>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</si>
  <si>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</si>
  <si>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</si>
  <si>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</si>
  <si>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</si>
  <si>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</si>
  <si>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</si>
  <si>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</si>
  <si>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</si>
  <si>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</si>
  <si>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</si>
  <si>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</si>
  <si>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</si>
  <si>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</si>
  <si>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</si>
  <si>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</si>
  <si>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</si>
  <si>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</si>
  <si>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</si>
  <si>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</si>
  <si>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</si>
  <si>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</si>
  <si>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</si>
  <si>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</si>
  <si>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</si>
  <si>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</si>
  <si>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</si>
  <si>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</si>
  <si>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</si>
  <si>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</si>
  <si>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</si>
  <si>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</si>
  <si>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</si>
  <si>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</si>
  <si>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</si>
  <si>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</si>
  <si>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</si>
  <si>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</si>
  <si>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</si>
  <si>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</si>
  <si>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</si>
  <si>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</si>
  <si>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</si>
  <si>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</si>
  <si>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</si>
  <si>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</si>
  <si>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</si>
  <si>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</si>
  <si>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</si>
  <si>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</si>
  <si>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</si>
  <si>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</si>
  <si>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</si>
  <si>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</si>
  <si>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</si>
  <si>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</si>
  <si>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</si>
  <si>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</si>
  <si>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</si>
  <si>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</si>
  <si>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</si>
  <si>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</si>
  <si>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</si>
  <si>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</si>
  <si>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</si>
  <si>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</si>
  <si>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</si>
  <si>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</si>
  <si>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</si>
  <si>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</si>
  <si>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</si>
  <si>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</si>
  <si>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</si>
  <si>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</si>
  <si>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</si>
  <si>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</si>
  <si>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</si>
  <si>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</si>
  <si>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</si>
  <si>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</si>
  <si>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</si>
  <si>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</si>
  <si>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</si>
  <si>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</si>
  <si>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</si>
  <si>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</si>
  <si>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</si>
  <si>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</si>
  <si>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</si>
  <si>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</si>
  <si>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</si>
  <si>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</si>
  <si>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</si>
  <si>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</si>
  <si>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</si>
  <si>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</si>
  <si>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</si>
  <si>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</si>
  <si>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</si>
  <si>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</si>
  <si>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</si>
  <si>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</si>
  <si>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</si>
  <si>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</si>
  <si>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</si>
  <si>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</si>
  <si>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</si>
  <si>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</si>
  <si>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</si>
  <si>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</si>
  <si>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</si>
  <si>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</si>
  <si>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</si>
  <si>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</si>
  <si>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</si>
  <si>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</si>
  <si>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</si>
  <si>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</si>
  <si>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</si>
  <si>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</si>
  <si>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</si>
  <si>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</si>
  <si>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</si>
  <si>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</si>
  <si>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</si>
  <si>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</si>
  <si>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</si>
  <si>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</si>
  <si>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</si>
  <si>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4</t>
  </si>
  <si>
    <t>Отчет об исполнении договора управления многоквартирного дома 
Мамина-Сибиряка, 4 в части текущего ремонта</t>
  </si>
  <si>
    <t>Техническое обслуживание системы видеонаблюдения.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</si>
  <si>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</si>
  <si>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</si>
  <si>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</si>
  <si>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</si>
  <si>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ремонт подъезда</t>
  </si>
  <si>
    <t xml:space="preserve">  -  ремонт видионаблюдения</t>
  </si>
  <si>
    <t xml:space="preserve">  -  диспетчеризация лифта</t>
  </si>
  <si>
    <t xml:space="preserve">  -  техническое обслуживание охранной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</si>
</sst>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</cellStyleXfs>
  <cellXfs count="16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17" fillId="0" borderId="0" xfId="5" applyFont="1" applyFill="1" applyBorder="1" applyAlignment="1"/>
    <xf numFmtId="4" fontId="17" fillId="0" borderId="0" xfId="5" applyNumberFormat="1" applyFont="1" applyFill="1" applyBorder="1" applyAlignment="1"/>
    <xf numFmtId="0" fontId="2" fillId="0" borderId="0" xfId="5" applyFill="1" applyBorder="1" applyAlignment="1">
      <alignment horizontal="center"/>
    </xf>
    <xf numFmtId="0" fontId="2" fillId="0" borderId="0" xfId="5" applyBorder="1" applyAlignment="1">
      <alignment horizontal="center"/>
    </xf>
    <xf numFmtId="0" fontId="2" fillId="0" borderId="0" xfId="5" applyNumberFormat="1" applyBorder="1" applyAlignment="1">
      <alignment horizontal="center"/>
    </xf>
    <xf numFmtId="0" fontId="2" fillId="0" borderId="0" xfId="5" applyNumberFormat="1" applyFill="1" applyBorder="1" applyAlignment="1">
      <alignment horizontal="center"/>
    </xf>
    <xf numFmtId="0" fontId="2" fillId="0" borderId="0" xfId="5" applyFill="1" applyBorder="1" applyAlignment="1"/>
    <xf numFmtId="4" fontId="2" fillId="0" borderId="0" xfId="5" applyNumberFormat="1" applyFill="1" applyBorder="1" applyAlignment="1">
      <alignment vertical="center"/>
    </xf>
    <xf numFmtId="4" fontId="2" fillId="0" borderId="0" xfId="5" applyNumberFormat="1" applyBorder="1" applyAlignment="1">
      <alignment vertical="center"/>
    </xf>
    <xf numFmtId="0" fontId="2" fillId="0" borderId="0" xfId="5" applyFill="1" applyBorder="1" applyAlignment="1">
      <alignment horizontal="center" vertical="center"/>
    </xf>
    <xf numFmtId="0" fontId="2" fillId="0" borderId="0" xfId="5" applyFill="1" applyBorder="1"/>
    <xf numFmtId="0" fontId="10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1" fillId="0" borderId="0" xfId="5" applyFont="1" applyFill="1" applyBorder="1" applyAlignment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3" sqref="K8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7" t="s">
        <v>183</v>
      </c>
      <c r="B2" s="157"/>
      <c r="C2" s="157"/>
      <c r="D2" s="157"/>
      <c r="E2" s="157"/>
      <c r="F2" s="157"/>
      <c r="G2" s="157"/>
      <c r="H2" s="157"/>
      <c r="I2" s="157"/>
      <c r="J2" s="15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43466</v>
      </c>
      <c r="K4" s="112"/>
      <c r="L4" s="112"/>
      <c r="M4" s="112"/>
      <c r="N4" s="112"/>
    </row>
    <row r="5" spans="1:18">
      <c r="A5" s="1" t="s">
        <v>1</v>
      </c>
      <c r="E5" s="119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2"/>
      <c r="L8" s="158"/>
      <c r="M8" s="112"/>
      <c r="N8" s="112"/>
      <c r="O8" s="72" t="s">
        <v>88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2"/>
      <c r="L9" s="158"/>
      <c r="M9" s="112"/>
      <c r="N9" s="112"/>
      <c r="O9" s="72" t="s">
        <v>89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194144.73</v>
      </c>
      <c r="K10" s="112"/>
      <c r="L10" s="158"/>
      <c r="M10" s="112"/>
      <c r="N10" s="112"/>
      <c r="O10" s="72" t="s">
        <v>90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460638.196</v>
      </c>
      <c r="K11" s="112"/>
      <c r="L11" s="158"/>
      <c r="M11" s="112"/>
      <c r="N11" s="112"/>
      <c r="O11" s="72" t="s">
        <v>91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352810.78</v>
      </c>
      <c r="K12" s="112"/>
      <c r="L12" s="158"/>
      <c r="M12" s="112"/>
      <c r="N12" s="112"/>
      <c r="O12" s="72" t="s">
        <v>92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107827.416</v>
      </c>
      <c r="K13" s="112"/>
      <c r="L13" s="158"/>
      <c r="M13" s="112"/>
      <c r="N13" s="112"/>
      <c r="O13" s="72" t="s">
        <v>93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2"/>
      <c r="L14" s="158"/>
      <c r="M14" s="112"/>
      <c r="N14" s="112"/>
      <c r="O14" s="72" t="s">
        <v>94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490473.59</v>
      </c>
      <c r="K15" s="112"/>
      <c r="L15" s="158"/>
      <c r="M15" s="112"/>
      <c r="N15" s="112"/>
      <c r="O15" s="72" t="s">
        <v>95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490473.59</v>
      </c>
      <c r="K16" s="112"/>
      <c r="L16" s="158"/>
      <c r="M16" s="112"/>
      <c r="N16" s="112"/>
      <c r="O16" s="72" t="s">
        <v>96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2"/>
      <c r="L17" s="158"/>
      <c r="M17" s="112"/>
      <c r="N17" s="112"/>
      <c r="O17" s="72" t="s">
        <v>97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2"/>
      <c r="L18" s="158"/>
      <c r="M18" s="112"/>
      <c r="N18" s="112"/>
      <c r="O18" s="72" t="s">
        <v>98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2"/>
      <c r="L19" s="158"/>
      <c r="M19" s="112"/>
      <c r="N19" s="112"/>
      <c r="O19" s="72" t="s">
        <v>99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2"/>
      <c r="L20" s="158"/>
      <c r="M20" s="112"/>
      <c r="N20" s="112"/>
      <c r="O20" s="72" t="s">
        <v>100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490473.59</v>
      </c>
      <c r="K21" s="112"/>
      <c r="L21" s="158"/>
      <c r="M21" s="112"/>
      <c r="N21" s="112"/>
      <c r="O21" s="72" t="s">
        <v>101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2"/>
      <c r="L22" s="158"/>
      <c r="M22" s="112"/>
      <c r="N22" s="112"/>
      <c r="O22" s="72" t="s">
        <v>102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2"/>
      <c r="L23" s="158"/>
      <c r="M23" s="112"/>
      <c r="N23" s="112"/>
      <c r="O23" s="72" t="s">
        <v>103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164309.33599999995</v>
      </c>
      <c r="K24" s="112"/>
      <c r="L24" s="158"/>
      <c r="M24" s="112"/>
      <c r="N24" s="112"/>
      <c r="O24" s="72" t="s">
        <v>104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1" t="s">
        <v>19</v>
      </c>
      <c r="B27" s="141"/>
      <c r="C27" s="141"/>
      <c r="D27" s="141"/>
      <c r="E27" s="141"/>
      <c r="F27" s="141" t="s">
        <v>20</v>
      </c>
      <c r="G27" s="141"/>
      <c r="H27" s="5" t="s">
        <v>57</v>
      </c>
      <c r="I27" s="141" t="s">
        <v>21</v>
      </c>
      <c r="J27" s="141"/>
      <c r="K27" s="112"/>
      <c r="L27" s="15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36">
        <f>VLOOKUP(A28,ПТО!$A$39:$D$53,2,FALSE)</f>
        <v>70974.960000000006</v>
      </c>
      <c r="G28" s="136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2"/>
      <c r="L28" s="15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5"/>
      <c r="C29" s="135"/>
      <c r="D29" s="135"/>
      <c r="E29" s="135"/>
      <c r="F29" s="136">
        <f>VLOOKUP(A29,ПТО!$A$39:$D$53,2,FALSE)</f>
        <v>94766.080000000002</v>
      </c>
      <c r="G29" s="136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12"/>
      <c r="L29" s="159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5"/>
      <c r="C30" s="135"/>
      <c r="D30" s="135"/>
      <c r="E30" s="135"/>
      <c r="F30" s="136">
        <f>VLOOKUP(A30,ПТО!$A$39:$D$53,2,FALSE)</f>
        <v>46634.28</v>
      </c>
      <c r="G30" s="136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2"/>
      <c r="L30" s="159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36">
        <f>VLOOKUP(A31,ПТО!$A$39:$D$53,2,FALSE)</f>
        <v>27298.080000000002</v>
      </c>
      <c r="G31" s="136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12"/>
      <c r="L31" s="15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36" t="e">
        <f>VLOOKUP(A32,ПТО!$A$39:$D$53,2,FALSE)</f>
        <v>#N/A</v>
      </c>
      <c r="G32" s="136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12"/>
      <c r="L32" s="159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36">
        <f>VLOOKUP(A33,ПТО!$A$39:$D$53,2,FALSE)</f>
        <v>9099.36</v>
      </c>
      <c r="G33" s="136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12"/>
      <c r="L33" s="15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36">
        <f>VLOOKUP(A34,ПТО!$A$39:$D$53,2,FALSE)</f>
        <v>50274</v>
      </c>
      <c r="G34" s="136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2"/>
      <c r="L34" s="15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5" t="str">
        <f>ПТО!A46</f>
        <v>Работы по содержанию лифта (лифтов)</v>
      </c>
      <c r="B35" s="135"/>
      <c r="C35" s="135"/>
      <c r="D35" s="135"/>
      <c r="E35" s="135"/>
      <c r="F35" s="136">
        <f>VLOOKUP(A35,ПТО!$A$39:$D$53,2,FALSE)</f>
        <v>53913.72</v>
      </c>
      <c r="G35" s="136"/>
      <c r="H35" s="42" t="str">
        <f>VLOOKUP(A35,ПТО!$A$39:$D$53,3,FALSE)</f>
        <v>Ежемесячно</v>
      </c>
      <c r="I35" s="137">
        <f>VLOOKUP(A35,ПТО!$A$39:$D$53,4,FALSE)</f>
        <v>12</v>
      </c>
      <c r="J35" s="137"/>
      <c r="K35" s="112"/>
      <c r="L35" s="159"/>
      <c r="M35" s="118"/>
      <c r="N35" s="112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36" t="e">
        <f>VLOOKUP(A36,ПТО!$A$39:$D$53,2,FALSE)</f>
        <v>#N/A</v>
      </c>
      <c r="G36" s="136"/>
      <c r="H36" s="42" t="e">
        <f>VLOOKUP(A36,ПТО!$A$39:$D$53,3,FALSE)</f>
        <v>#N/A</v>
      </c>
      <c r="I36" s="137" t="e">
        <f>VLOOKUP(A36,ПТО!$A$39:$D$53,4,FALSE)</f>
        <v>#N/A</v>
      </c>
      <c r="J36" s="137"/>
      <c r="K36" s="112"/>
      <c r="L36" s="159"/>
      <c r="M36" s="118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36" t="e">
        <f>VLOOKUP(A37,ПТО!$A$39:$D$53,2,FALSE)</f>
        <v>#N/A</v>
      </c>
      <c r="G37" s="136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12"/>
      <c r="L37" s="159"/>
      <c r="M37" s="118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36" t="e">
        <f>VLOOKUP(A38,ПТО!$A$39:$D$53,2,FALSE)</f>
        <v>#N/A</v>
      </c>
      <c r="G38" s="136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12"/>
      <c r="L38" s="159"/>
      <c r="M38" s="118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36" t="e">
        <f>VLOOKUP(A39,ПТО!$A$39:$D$53,2,FALSE)</f>
        <v>#N/A</v>
      </c>
      <c r="G39" s="136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12"/>
      <c r="L39" s="159"/>
      <c r="M39" s="118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36" t="e">
        <f>VLOOKUP(A40,ПТО!$A$39:$D$53,2,FALSE)</f>
        <v>#N/A</v>
      </c>
      <c r="G40" s="136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12"/>
      <c r="L40" s="159"/>
      <c r="M40" s="118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36" t="e">
        <f>VLOOKUP(A41,ПТО!$A$39:$D$53,2,FALSE)</f>
        <v>#N/A</v>
      </c>
      <c r="G41" s="136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12"/>
      <c r="L41" s="159"/>
      <c r="M41" s="118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36" t="e">
        <f>VLOOKUP(A42,ПТО!$A$39:$D$53,2,FALSE)</f>
        <v>#N/A</v>
      </c>
      <c r="G42" s="136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12"/>
      <c r="L42" s="159"/>
      <c r="M42" s="118"/>
      <c r="N42" s="112"/>
      <c r="O42" s="23">
        <f t="shared" si="1"/>
        <v>0</v>
      </c>
      <c r="R42" s="1" t="s">
        <v>75</v>
      </c>
    </row>
    <row r="43" spans="1:18" ht="51" customHeight="1" outlineLevel="1">
      <c r="A43" s="135" t="str">
        <f>ПТО!A2</f>
        <v>Техническое освидетельствование лифта.</v>
      </c>
      <c r="B43" s="135"/>
      <c r="C43" s="135"/>
      <c r="D43" s="135"/>
      <c r="E43" s="135"/>
      <c r="F43" s="136">
        <f>VLOOKUP(A43,ПТО!$A$2:$D$31,4,FALSE)</f>
        <v>8100</v>
      </c>
      <c r="G43" s="136"/>
      <c r="H43" s="19" t="str">
        <f>VLOOKUP(A43,ПТО!$A$2:$D$31,2,FALSE)</f>
        <v>ежегодно</v>
      </c>
      <c r="I43" s="137">
        <f>VLOOKUP(A43,ПТО!$A$2:$D$31,3,FALSE)</f>
        <v>1</v>
      </c>
      <c r="J43" s="137"/>
      <c r="K43" s="112"/>
      <c r="L43" s="159"/>
      <c r="M43" s="118"/>
      <c r="N43" s="112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5" t="str">
        <f>ПТО!A3</f>
        <v>Техническое обслуживание системы видеонаблюдения.</v>
      </c>
      <c r="B44" s="135"/>
      <c r="C44" s="135"/>
      <c r="D44" s="135"/>
      <c r="E44" s="135"/>
      <c r="F44" s="136">
        <f>VLOOKUP(A44,ПТО!$A$2:$D$31,4,FALSE)</f>
        <v>5000</v>
      </c>
      <c r="G44" s="136"/>
      <c r="H44" s="25" t="str">
        <f>VLOOKUP(A44,ПТО!$A$2:$D$31,2,FALSE)</f>
        <v>ежемесячно</v>
      </c>
      <c r="I44" s="137">
        <f>VLOOKUP(A44,ПТО!$A$2:$D$31,3,FALSE)</f>
        <v>5</v>
      </c>
      <c r="J44" s="137"/>
      <c r="K44" s="112"/>
      <c r="L44" s="159"/>
      <c r="M44" s="118"/>
      <c r="N44" s="112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35" t="str">
        <f>ПТО!A4</f>
        <v>Техническое обслуживание охранной сигнализации.</v>
      </c>
      <c r="B45" s="135"/>
      <c r="C45" s="135"/>
      <c r="D45" s="135"/>
      <c r="E45" s="135"/>
      <c r="F45" s="136">
        <f>VLOOKUP(A45,ПТО!$A$2:$D$31,4,FALSE)</f>
        <v>10500</v>
      </c>
      <c r="G45" s="136"/>
      <c r="H45" s="25" t="str">
        <f>VLOOKUP(A45,ПТО!$A$2:$D$31,2,FALSE)</f>
        <v>ежемесячно</v>
      </c>
      <c r="I45" s="137">
        <f>VLOOKUP(A45,ПТО!$A$2:$D$31,3,FALSE)</f>
        <v>12</v>
      </c>
      <c r="J45" s="137"/>
      <c r="K45" s="112"/>
      <c r="L45" s="159"/>
      <c r="M45" s="118"/>
      <c r="N45" s="112"/>
      <c r="O45" s="23" t="str">
        <f t="shared" si="1"/>
        <v>Техническое обслуживание охранной сигнализации.</v>
      </c>
      <c r="R45" s="22" t="s">
        <v>76</v>
      </c>
    </row>
    <row r="46" spans="1:18" ht="51" hidden="1" customHeight="1" outlineLevel="1">
      <c r="A46" s="135">
        <f>ПТО!A5</f>
        <v>0</v>
      </c>
      <c r="B46" s="135"/>
      <c r="C46" s="135"/>
      <c r="D46" s="135"/>
      <c r="E46" s="135"/>
      <c r="F46" s="136" t="e">
        <f>VLOOKUP(A46,ПТО!$A$2:$D$31,4,FALSE)</f>
        <v>#N/A</v>
      </c>
      <c r="G46" s="136"/>
      <c r="H46" s="25" t="e">
        <f>VLOOKUP(A46,ПТО!$A$2:$D$31,2,FALSE)</f>
        <v>#N/A</v>
      </c>
      <c r="I46" s="137" t="e">
        <f>VLOOKUP(A46,ПТО!$A$2:$D$31,3,FALSE)</f>
        <v>#N/A</v>
      </c>
      <c r="J46" s="137"/>
      <c r="K46" s="112"/>
      <c r="L46" s="159"/>
      <c r="M46" s="118"/>
      <c r="N46" s="112"/>
      <c r="O46" s="23">
        <f t="shared" si="1"/>
        <v>0</v>
      </c>
      <c r="R46" s="22" t="s">
        <v>76</v>
      </c>
    </row>
    <row r="47" spans="1:18" ht="51" hidden="1" customHeight="1" outlineLevel="1">
      <c r="A47" s="135">
        <f>ПТО!A6</f>
        <v>0</v>
      </c>
      <c r="B47" s="135"/>
      <c r="C47" s="135"/>
      <c r="D47" s="135"/>
      <c r="E47" s="135"/>
      <c r="F47" s="136" t="e">
        <f>VLOOKUP(A47,ПТО!$A$2:$D$31,4,FALSE)</f>
        <v>#N/A</v>
      </c>
      <c r="G47" s="136"/>
      <c r="H47" s="25" t="e">
        <f>VLOOKUP(A47,ПТО!$A$2:$D$31,2,FALSE)</f>
        <v>#N/A</v>
      </c>
      <c r="I47" s="137" t="e">
        <f>VLOOKUP(A47,ПТО!$A$2:$D$31,3,FALSE)</f>
        <v>#N/A</v>
      </c>
      <c r="J47" s="137"/>
      <c r="K47" s="112"/>
      <c r="L47" s="159"/>
      <c r="M47" s="118"/>
      <c r="N47" s="112"/>
      <c r="O47" s="23">
        <f t="shared" si="1"/>
        <v>0</v>
      </c>
      <c r="R47" s="22" t="s">
        <v>76</v>
      </c>
    </row>
    <row r="48" spans="1:18" ht="51" hidden="1" customHeight="1" outlineLevel="1">
      <c r="A48" s="135">
        <f>ПТО!A7</f>
        <v>0</v>
      </c>
      <c r="B48" s="135"/>
      <c r="C48" s="135"/>
      <c r="D48" s="135"/>
      <c r="E48" s="135"/>
      <c r="F48" s="136" t="e">
        <f>VLOOKUP(A48,ПТО!$A$2:$D$31,4,FALSE)</f>
        <v>#N/A</v>
      </c>
      <c r="G48" s="136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2"/>
      <c r="L48" s="159"/>
      <c r="M48" s="118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35">
        <f>ПТО!A8</f>
        <v>0</v>
      </c>
      <c r="B49" s="135"/>
      <c r="C49" s="135"/>
      <c r="D49" s="135"/>
      <c r="E49" s="135"/>
      <c r="F49" s="136" t="e">
        <f>VLOOKUP(A49,ПТО!$A$2:$D$31,4,FALSE)</f>
        <v>#N/A</v>
      </c>
      <c r="G49" s="136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2"/>
      <c r="L49" s="159"/>
      <c r="M49" s="118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36" t="e">
        <f>VLOOKUP(A50,ПТО!$A$2:$D$31,4,FALSE)</f>
        <v>#N/A</v>
      </c>
      <c r="G50" s="136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2"/>
      <c r="L50" s="159"/>
      <c r="M50" s="118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36" t="e">
        <f>VLOOKUP(A51,ПТО!$A$2:$D$31,4,FALSE)</f>
        <v>#N/A</v>
      </c>
      <c r="G51" s="136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2"/>
      <c r="L51" s="159"/>
      <c r="M51" s="118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36" t="e">
        <f>VLOOKUP(A52,ПТО!$A$2:$D$31,4,FALSE)</f>
        <v>#N/A</v>
      </c>
      <c r="G52" s="136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2"/>
      <c r="L52" s="159"/>
      <c r="M52" s="118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36" t="e">
        <f>VLOOKUP(A53,ПТО!$A$2:$D$31,4,FALSE)</f>
        <v>#N/A</v>
      </c>
      <c r="G53" s="136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2"/>
      <c r="L53" s="159"/>
      <c r="M53" s="118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36" t="e">
        <f>VLOOKUP(A54,ПТО!$A$2:$D$31,4,FALSE)</f>
        <v>#N/A</v>
      </c>
      <c r="G54" s="136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2"/>
      <c r="L54" s="159"/>
      <c r="M54" s="118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36" t="e">
        <f>VLOOKUP(A55,ПТО!$A$2:$D$31,4,FALSE)</f>
        <v>#N/A</v>
      </c>
      <c r="G55" s="136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2"/>
      <c r="L55" s="159"/>
      <c r="M55" s="118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36" t="e">
        <f>VLOOKUP(A56,ПТО!$A$2:$D$31,4,FALSE)</f>
        <v>#N/A</v>
      </c>
      <c r="G56" s="136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2"/>
      <c r="L56" s="159"/>
      <c r="M56" s="118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36" t="e">
        <f>VLOOKUP(A57,ПТО!$A$2:$D$31,4,FALSE)</f>
        <v>#N/A</v>
      </c>
      <c r="G57" s="136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2"/>
      <c r="L57" s="159"/>
      <c r="M57" s="118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2"/>
      <c r="L58" s="159"/>
      <c r="M58" s="118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2"/>
      <c r="L59" s="159"/>
      <c r="M59" s="118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2"/>
      <c r="L60" s="159"/>
      <c r="M60" s="118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2"/>
      <c r="L61" s="159"/>
      <c r="M61" s="118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2"/>
      <c r="L62" s="159"/>
      <c r="M62" s="118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2"/>
      <c r="L63" s="159"/>
      <c r="M63" s="118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2"/>
      <c r="L64" s="159"/>
      <c r="M64" s="118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2"/>
      <c r="L65" s="159"/>
      <c r="M65" s="118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2"/>
      <c r="L66" s="159"/>
      <c r="M66" s="118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2"/>
      <c r="L67" s="159"/>
      <c r="M67" s="118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2"/>
      <c r="L68" s="159"/>
      <c r="M68" s="118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2"/>
      <c r="L69" s="159"/>
      <c r="M69" s="118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2"/>
      <c r="L70" s="159"/>
      <c r="M70" s="118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8"/>
      <c r="L71" s="159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2"/>
      <c r="L72" s="159"/>
      <c r="M72" s="118"/>
      <c r="N72" s="112"/>
      <c r="O72" s="23">
        <f t="shared" si="1"/>
        <v>0</v>
      </c>
      <c r="R72" s="22" t="s">
        <v>76</v>
      </c>
    </row>
    <row r="73" spans="1:16384">
      <c r="A73" s="107" t="s">
        <v>180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3" t="s">
        <v>27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2"/>
      <c r="L75" s="142"/>
      <c r="M75" s="112"/>
      <c r="N75" s="112"/>
      <c r="O75" s="72" t="s">
        <v>105</v>
      </c>
    </row>
    <row r="76" spans="1:16384" ht="18.75" customHeight="1" outlineLevel="1">
      <c r="A76" s="153" t="s">
        <v>28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2"/>
      <c r="L76" s="142"/>
      <c r="M76" s="112"/>
      <c r="N76" s="112"/>
      <c r="O76" s="72" t="s">
        <v>106</v>
      </c>
    </row>
    <row r="77" spans="1:16384" ht="21.75" customHeight="1" outlineLevel="1">
      <c r="A77" s="153" t="s">
        <v>29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2"/>
      <c r="L77" s="142"/>
      <c r="M77" s="112"/>
      <c r="N77" s="112"/>
      <c r="O77" s="72" t="s">
        <v>107</v>
      </c>
    </row>
    <row r="78" spans="1:16384" ht="18.75" customHeight="1" outlineLevel="1">
      <c r="A78" s="153" t="s">
        <v>30</v>
      </c>
      <c r="B78" s="153"/>
      <c r="C78" s="153"/>
      <c r="D78" s="153"/>
      <c r="E78" s="153"/>
      <c r="F78" s="153"/>
      <c r="G78" s="153"/>
      <c r="H78" s="153"/>
      <c r="I78" s="153"/>
      <c r="J78" s="99">
        <f>VLOOKUP(O78,АО,3,FALSE)</f>
        <v>0</v>
      </c>
      <c r="K78" s="112"/>
      <c r="L78" s="142"/>
      <c r="M78" s="112"/>
      <c r="N78" s="112"/>
      <c r="O78" s="72" t="s">
        <v>108</v>
      </c>
    </row>
    <row r="79" spans="1:16384">
      <c r="A79" s="117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9">
        <f t="shared" ref="J81:J90" si="2">VLOOKUP(O81,АО,3,FALSE)</f>
        <v>0</v>
      </c>
      <c r="K81" s="112"/>
      <c r="L81" s="160"/>
      <c r="M81" s="112"/>
      <c r="N81" s="112"/>
      <c r="O81" s="72" t="s">
        <v>109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9">
        <f t="shared" si="2"/>
        <v>0</v>
      </c>
      <c r="K82" s="112"/>
      <c r="L82" s="160"/>
      <c r="M82" s="112"/>
      <c r="N82" s="112"/>
      <c r="O82" s="72" t="s">
        <v>110</v>
      </c>
    </row>
    <row r="83" spans="1:15" outlineLevel="1">
      <c r="A83" s="150" t="s">
        <v>4</v>
      </c>
      <c r="B83" s="151"/>
      <c r="C83" s="151"/>
      <c r="D83" s="151"/>
      <c r="E83" s="151"/>
      <c r="F83" s="151"/>
      <c r="G83" s="151"/>
      <c r="H83" s="151"/>
      <c r="I83" s="152"/>
      <c r="J83" s="99">
        <f t="shared" si="2"/>
        <v>61079.12</v>
      </c>
      <c r="K83" s="112"/>
      <c r="L83" s="160"/>
      <c r="M83" s="112"/>
      <c r="N83" s="112"/>
      <c r="O83" s="72" t="s">
        <v>111</v>
      </c>
    </row>
    <row r="84" spans="1:15" outlineLevel="1">
      <c r="A84" s="150" t="s">
        <v>16</v>
      </c>
      <c r="B84" s="151"/>
      <c r="C84" s="151"/>
      <c r="D84" s="151"/>
      <c r="E84" s="151"/>
      <c r="F84" s="151"/>
      <c r="G84" s="151"/>
      <c r="H84" s="151"/>
      <c r="I84" s="152"/>
      <c r="J84" s="99">
        <f t="shared" si="2"/>
        <v>0</v>
      </c>
      <c r="K84" s="112"/>
      <c r="L84" s="160"/>
      <c r="M84" s="112"/>
      <c r="N84" s="112"/>
      <c r="O84" s="72" t="s">
        <v>112</v>
      </c>
    </row>
    <row r="85" spans="1:15" outlineLevel="1">
      <c r="A85" s="150" t="s">
        <v>17</v>
      </c>
      <c r="B85" s="151"/>
      <c r="C85" s="151"/>
      <c r="D85" s="151"/>
      <c r="E85" s="151"/>
      <c r="F85" s="151"/>
      <c r="G85" s="151"/>
      <c r="H85" s="151"/>
      <c r="I85" s="152"/>
      <c r="J85" s="99">
        <f t="shared" si="2"/>
        <v>0</v>
      </c>
      <c r="K85" s="112"/>
      <c r="L85" s="160"/>
      <c r="M85" s="112"/>
      <c r="N85" s="112"/>
      <c r="O85" s="72" t="s">
        <v>113</v>
      </c>
    </row>
    <row r="86" spans="1:15" outlineLevel="1">
      <c r="A86" s="150" t="s">
        <v>18</v>
      </c>
      <c r="B86" s="151"/>
      <c r="C86" s="151"/>
      <c r="D86" s="151"/>
      <c r="E86" s="151"/>
      <c r="F86" s="151"/>
      <c r="G86" s="151"/>
      <c r="H86" s="151"/>
      <c r="I86" s="152"/>
      <c r="J86" s="99">
        <f t="shared" si="2"/>
        <v>40187.949999999997</v>
      </c>
      <c r="K86" s="112"/>
      <c r="L86" s="160"/>
      <c r="M86" s="112"/>
      <c r="N86" s="112"/>
      <c r="O86" s="72" t="s">
        <v>114</v>
      </c>
    </row>
    <row r="87" spans="1:15" ht="18.75" customHeight="1" outlineLevel="1">
      <c r="A87" s="150" t="s">
        <v>27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2"/>
      <c r="L87" s="160"/>
      <c r="M87" s="112"/>
      <c r="N87" s="112"/>
      <c r="O87" s="72" t="s">
        <v>115</v>
      </c>
    </row>
    <row r="88" spans="1:15" ht="18.75" customHeight="1" outlineLevel="1">
      <c r="A88" s="150" t="s">
        <v>28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2"/>
      <c r="L88" s="160"/>
      <c r="M88" s="112"/>
      <c r="N88" s="112"/>
      <c r="O88" s="72" t="s">
        <v>116</v>
      </c>
    </row>
    <row r="89" spans="1:15" ht="18.75" customHeight="1" outlineLevel="1">
      <c r="A89" s="150" t="s">
        <v>29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2"/>
      <c r="L89" s="160"/>
      <c r="M89" s="112"/>
      <c r="N89" s="112"/>
      <c r="O89" s="72" t="s">
        <v>117</v>
      </c>
    </row>
    <row r="90" spans="1:15" ht="18.75" customHeight="1" outlineLevel="1">
      <c r="A90" s="150" t="s">
        <v>30</v>
      </c>
      <c r="B90" s="151"/>
      <c r="C90" s="151"/>
      <c r="D90" s="151"/>
      <c r="E90" s="151"/>
      <c r="F90" s="151"/>
      <c r="G90" s="151"/>
      <c r="H90" s="151"/>
      <c r="I90" s="152"/>
      <c r="J90" s="99">
        <f t="shared" si="2"/>
        <v>0</v>
      </c>
      <c r="K90" s="112"/>
      <c r="L90" s="160"/>
      <c r="M90" s="112"/>
      <c r="N90" s="112"/>
      <c r="O90" s="72" t="s">
        <v>118</v>
      </c>
    </row>
    <row r="91" spans="1:15">
      <c r="A91" s="107" t="s">
        <v>180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4" t="s">
        <v>48</v>
      </c>
      <c r="B93" s="144"/>
      <c r="C93" s="144"/>
      <c r="D93" s="147" t="s">
        <v>49</v>
      </c>
      <c r="E93" s="147"/>
      <c r="F93" s="10" t="s">
        <v>50</v>
      </c>
      <c r="G93" s="144" t="s">
        <v>51</v>
      </c>
      <c r="H93" s="144"/>
      <c r="I93" s="144"/>
      <c r="J93" s="144"/>
      <c r="K93" s="112"/>
      <c r="L93" s="112"/>
      <c r="M93" s="112"/>
      <c r="N93" s="112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5">
        <f>VLOOKUP("эл",АО,5,FALSE)</f>
        <v>158969.03</v>
      </c>
      <c r="H94" s="146"/>
      <c r="I94" s="146"/>
      <c r="J94" s="146"/>
      <c r="K94" s="1" t="str">
        <f>VLOOKUP("эл",АО,2,FALSE)</f>
        <v>Электроснабжение</v>
      </c>
      <c r="L94" s="161"/>
    </row>
    <row r="95" spans="1:15" outlineLevel="2">
      <c r="A95" s="149" t="str">
        <f>IF(VLOOKUP("эл",АО,3,FALSE)&gt;0,VLOOKUP("эл1",АО,2,FALSE),0)</f>
        <v>Общий объем потребления, нат. показ.</v>
      </c>
      <c r="B95" s="149"/>
      <c r="C95" s="149"/>
      <c r="D95" s="149"/>
      <c r="E95" s="149"/>
      <c r="F95" s="149"/>
      <c r="G95" s="149"/>
      <c r="H95" s="149"/>
      <c r="I95" s="149"/>
      <c r="J95" s="18">
        <f t="shared" ref="J95:J101" si="3">VLOOKUP(O95,АО,3,FALSE)</f>
        <v>145177.20000000001</v>
      </c>
      <c r="L95" s="161"/>
      <c r="O95" s="1" t="s">
        <v>119</v>
      </c>
    </row>
    <row r="96" spans="1:15" outlineLevel="2">
      <c r="A96" s="149" t="str">
        <f>IF(VLOOKUP("эл",АО,3,FALSE)&gt;0,VLOOKUP("эл2",АО,2,FALSE),0)</f>
        <v>Оплачено потребителями, руб.</v>
      </c>
      <c r="B96" s="149"/>
      <c r="C96" s="149"/>
      <c r="D96" s="149"/>
      <c r="E96" s="149"/>
      <c r="F96" s="149"/>
      <c r="G96" s="149"/>
      <c r="H96" s="149"/>
      <c r="I96" s="149"/>
      <c r="J96" s="18">
        <f t="shared" si="3"/>
        <v>183004.97</v>
      </c>
      <c r="L96" s="161"/>
      <c r="O96" s="1" t="s">
        <v>120</v>
      </c>
    </row>
    <row r="97" spans="1:15" outlineLevel="2">
      <c r="A97" s="149" t="str">
        <f>IF(VLOOKUP("эл",АО,3,FALSE)&gt;0,VLOOKUP("эл3",АО,2,FALSE),0)</f>
        <v>Задолженность потребителей, руб.</v>
      </c>
      <c r="B97" s="149"/>
      <c r="C97" s="149"/>
      <c r="D97" s="149"/>
      <c r="E97" s="149"/>
      <c r="F97" s="149"/>
      <c r="G97" s="149"/>
      <c r="H97" s="149"/>
      <c r="I97" s="149"/>
      <c r="J97" s="18">
        <f t="shared" si="3"/>
        <v>0</v>
      </c>
      <c r="L97" s="161"/>
      <c r="O97" s="1" t="s">
        <v>121</v>
      </c>
    </row>
    <row r="98" spans="1:15" ht="37.5" customHeight="1" outlineLevel="2">
      <c r="A98" s="149" t="str">
        <f>IF(VLOOKUP("эл",АО,3,FALSE)&gt;0,VLOOKUP("эл4",АО,2,FALSE),0)</f>
        <v>Начислено поставщиком (поставщиками) коммунального ресурса, руб.</v>
      </c>
      <c r="B98" s="149"/>
      <c r="C98" s="149"/>
      <c r="D98" s="149"/>
      <c r="E98" s="149"/>
      <c r="F98" s="149"/>
      <c r="G98" s="149"/>
      <c r="H98" s="149"/>
      <c r="I98" s="149"/>
      <c r="J98" s="18">
        <f t="shared" si="3"/>
        <v>158969.03</v>
      </c>
      <c r="L98" s="161"/>
      <c r="O98" s="1" t="s">
        <v>122</v>
      </c>
    </row>
    <row r="99" spans="1:15" outlineLevel="2">
      <c r="A99" s="149" t="str">
        <f>IF(VLOOKUP("эл",АО,3,FALSE)&gt;0,VLOOKUP("эл5",АО,2,FALSE),0)</f>
        <v>Оплачено поставщику (поставщикам) коммунального ресурса, руб.</v>
      </c>
      <c r="B99" s="149"/>
      <c r="C99" s="149"/>
      <c r="D99" s="149"/>
      <c r="E99" s="149"/>
      <c r="F99" s="149"/>
      <c r="G99" s="149"/>
      <c r="H99" s="149"/>
      <c r="I99" s="149"/>
      <c r="J99" s="18">
        <f t="shared" si="3"/>
        <v>158969.03</v>
      </c>
      <c r="L99" s="161"/>
      <c r="O99" s="1" t="s">
        <v>123</v>
      </c>
    </row>
    <row r="100" spans="1:15" ht="39" customHeight="1" outlineLevel="2">
      <c r="A100" s="14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9"/>
      <c r="C100" s="149"/>
      <c r="D100" s="149"/>
      <c r="E100" s="149"/>
      <c r="F100" s="149"/>
      <c r="G100" s="149"/>
      <c r="H100" s="149"/>
      <c r="I100" s="149"/>
      <c r="J100" s="18">
        <f t="shared" si="3"/>
        <v>0</v>
      </c>
      <c r="L100" s="161"/>
      <c r="O100" s="1" t="s">
        <v>124</v>
      </c>
    </row>
    <row r="101" spans="1:15" ht="34.5" customHeight="1" outlineLevel="2">
      <c r="A101" s="14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9"/>
      <c r="C101" s="149"/>
      <c r="D101" s="149"/>
      <c r="E101" s="149"/>
      <c r="F101" s="149"/>
      <c r="G101" s="149"/>
      <c r="H101" s="149"/>
      <c r="I101" s="149"/>
      <c r="J101" s="18">
        <f t="shared" si="3"/>
        <v>0</v>
      </c>
      <c r="L101" s="161"/>
      <c r="O101" s="1" t="s">
        <v>125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5">
        <f>VLOOKUP("хвс",АО,5,FALSE)</f>
        <v>63175.22</v>
      </c>
      <c r="H102" s="146"/>
      <c r="I102" s="146"/>
      <c r="J102" s="146"/>
      <c r="L102" s="161"/>
    </row>
    <row r="103" spans="1:15" outlineLevel="2">
      <c r="A103" s="149" t="str">
        <f t="shared" ref="A103:A109" si="4">IF(VLOOKUP("хвс",АО,3,FALSE)&gt;0,VLOOKUP(O103,АО,2,FALSE),0)</f>
        <v>Общий объем потребления, нат. показ.</v>
      </c>
      <c r="B103" s="149"/>
      <c r="C103" s="149"/>
      <c r="D103" s="149"/>
      <c r="E103" s="149"/>
      <c r="F103" s="149"/>
      <c r="G103" s="149"/>
      <c r="H103" s="149"/>
      <c r="I103" s="149"/>
      <c r="J103" s="18">
        <f t="shared" ref="J103:J109" si="5">VLOOKUP(O103,АО,3,FALSE)</f>
        <v>4536.82</v>
      </c>
      <c r="L103" s="161"/>
      <c r="O103" s="1" t="s">
        <v>128</v>
      </c>
    </row>
    <row r="104" spans="1:15" ht="18.75" customHeight="1" outlineLevel="2">
      <c r="A104" s="149" t="str">
        <f t="shared" si="4"/>
        <v>Оплачено потребителями, руб.</v>
      </c>
      <c r="B104" s="149"/>
      <c r="C104" s="149"/>
      <c r="D104" s="149"/>
      <c r="E104" s="149"/>
      <c r="F104" s="149"/>
      <c r="G104" s="149"/>
      <c r="H104" s="149"/>
      <c r="I104" s="149"/>
      <c r="J104" s="18">
        <f t="shared" si="5"/>
        <v>65713.48</v>
      </c>
      <c r="L104" s="161"/>
      <c r="O104" s="1" t="s">
        <v>129</v>
      </c>
    </row>
    <row r="105" spans="1:15" ht="18.75" customHeight="1" outlineLevel="2">
      <c r="A105" s="149" t="str">
        <f t="shared" si="4"/>
        <v>Задолженность потребителей, руб.</v>
      </c>
      <c r="B105" s="149"/>
      <c r="C105" s="149"/>
      <c r="D105" s="149"/>
      <c r="E105" s="149"/>
      <c r="F105" s="149"/>
      <c r="G105" s="149"/>
      <c r="H105" s="149"/>
      <c r="I105" s="149"/>
      <c r="J105" s="18">
        <f t="shared" si="5"/>
        <v>0</v>
      </c>
      <c r="L105" s="161"/>
      <c r="O105" s="1" t="s">
        <v>130</v>
      </c>
    </row>
    <row r="106" spans="1:15" ht="36.75" customHeight="1" outlineLevel="2">
      <c r="A106" s="149" t="str">
        <f t="shared" si="4"/>
        <v>Начислено поставщиком (поставщиками) коммунального ресурса, руб.</v>
      </c>
      <c r="B106" s="149"/>
      <c r="C106" s="149"/>
      <c r="D106" s="149"/>
      <c r="E106" s="149"/>
      <c r="F106" s="149"/>
      <c r="G106" s="149"/>
      <c r="H106" s="149"/>
      <c r="I106" s="149"/>
      <c r="J106" s="18">
        <f t="shared" si="5"/>
        <v>63175.22</v>
      </c>
      <c r="L106" s="161"/>
      <c r="O106" s="1" t="s">
        <v>131</v>
      </c>
    </row>
    <row r="107" spans="1:15" ht="18.75" customHeight="1" outlineLevel="2">
      <c r="A107" s="149" t="str">
        <f t="shared" si="4"/>
        <v>Оплачено поставщику (поставщикам) коммунального ресурса, руб.</v>
      </c>
      <c r="B107" s="149"/>
      <c r="C107" s="149"/>
      <c r="D107" s="149"/>
      <c r="E107" s="149"/>
      <c r="F107" s="149"/>
      <c r="G107" s="149"/>
      <c r="H107" s="149"/>
      <c r="I107" s="149"/>
      <c r="J107" s="18">
        <f t="shared" si="5"/>
        <v>63175.22</v>
      </c>
      <c r="L107" s="161"/>
      <c r="O107" s="1" t="s">
        <v>132</v>
      </c>
    </row>
    <row r="108" spans="1:15" ht="37.5" customHeight="1" outlineLevel="2">
      <c r="A108" s="149" t="str">
        <f t="shared" si="4"/>
        <v>Задолженность перед поставщиком (поставщиками) коммунального ресурса, руб.</v>
      </c>
      <c r="B108" s="149"/>
      <c r="C108" s="149"/>
      <c r="D108" s="149"/>
      <c r="E108" s="149"/>
      <c r="F108" s="149"/>
      <c r="G108" s="149"/>
      <c r="H108" s="149"/>
      <c r="I108" s="149"/>
      <c r="J108" s="18">
        <f t="shared" si="5"/>
        <v>0</v>
      </c>
      <c r="L108" s="161"/>
      <c r="O108" s="1" t="s">
        <v>133</v>
      </c>
    </row>
    <row r="109" spans="1:15" ht="39.75" customHeight="1" outlineLevel="2">
      <c r="A109" s="149" t="str">
        <f t="shared" si="4"/>
        <v>Размер пени и штрафов, уплаченных поставщику (поставщикам) коммунального ресурса, руб.</v>
      </c>
      <c r="B109" s="149"/>
      <c r="C109" s="149"/>
      <c r="D109" s="149"/>
      <c r="E109" s="149"/>
      <c r="F109" s="149"/>
      <c r="G109" s="149"/>
      <c r="H109" s="149"/>
      <c r="I109" s="149"/>
      <c r="J109" s="18">
        <f t="shared" si="5"/>
        <v>0</v>
      </c>
      <c r="L109" s="161"/>
      <c r="O109" s="1" t="s">
        <v>134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5">
        <f>VLOOKUP("воо",АО,5,FALSE)</f>
        <v>110756.96</v>
      </c>
      <c r="H110" s="146"/>
      <c r="I110" s="146"/>
      <c r="J110" s="146"/>
      <c r="L110" s="161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7423.39</v>
      </c>
      <c r="L111" s="161"/>
      <c r="O111" s="1" t="s">
        <v>136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116193.37</v>
      </c>
      <c r="L112" s="161"/>
      <c r="O112" s="1" t="s">
        <v>137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0</v>
      </c>
      <c r="L113" s="161"/>
      <c r="O113" s="1" t="s">
        <v>138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110756.96</v>
      </c>
      <c r="L114" s="161"/>
      <c r="O114" s="1" t="s">
        <v>139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110756.96</v>
      </c>
      <c r="L115" s="161"/>
      <c r="O115" s="1" t="s">
        <v>140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61"/>
      <c r="O116" s="1" t="s">
        <v>141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61"/>
      <c r="O117" s="1" t="s">
        <v>142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5">
        <f>VLOOKUP("тко",АО,5,FALSE)</f>
        <v>87344.02</v>
      </c>
      <c r="H118" s="146"/>
      <c r="I118" s="146"/>
      <c r="J118" s="146"/>
      <c r="L118" s="49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161.65</v>
      </c>
      <c r="L119" s="49"/>
      <c r="O119" s="1" t="s">
        <v>144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74991.33</v>
      </c>
      <c r="L120" s="49"/>
      <c r="O120" s="1" t="s">
        <v>145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12352.690000000002</v>
      </c>
      <c r="L121" s="49"/>
      <c r="O121" s="1" t="s">
        <v>146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87344.02</v>
      </c>
      <c r="L122" s="49"/>
      <c r="O122" s="1" t="s">
        <v>147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87344.02</v>
      </c>
      <c r="L123" s="49"/>
      <c r="O123" s="1" t="s">
        <v>148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9"/>
      <c r="O124" s="1" t="s">
        <v>149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9"/>
      <c r="O125" s="1" t="s">
        <v>150</v>
      </c>
    </row>
    <row r="126" spans="1:15" ht="32.25" hidden="1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5">
        <f>VLOOKUP("гвс",АО,5,FALSE)</f>
        <v>40200.74</v>
      </c>
      <c r="H126" s="146"/>
      <c r="I126" s="146"/>
      <c r="J126" s="146"/>
      <c r="L126" s="49"/>
    </row>
    <row r="127" spans="1:15" ht="32.25" hidden="1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2886.95</v>
      </c>
      <c r="L127" s="49"/>
      <c r="O127" s="1" t="s">
        <v>152</v>
      </c>
    </row>
    <row r="128" spans="1:15" ht="32.25" hidden="1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41433.99</v>
      </c>
      <c r="L128" s="49"/>
      <c r="O128" s="1" t="s">
        <v>153</v>
      </c>
    </row>
    <row r="129" spans="1:15" ht="32.25" hidden="1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0</v>
      </c>
      <c r="L129" s="49"/>
      <c r="O129" s="1" t="s">
        <v>154</v>
      </c>
    </row>
    <row r="130" spans="1:15" ht="32.25" hidden="1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40200.74</v>
      </c>
      <c r="L130" s="49"/>
      <c r="O130" s="1" t="s">
        <v>155</v>
      </c>
    </row>
    <row r="131" spans="1:15" ht="32.25" hidden="1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40200.74</v>
      </c>
      <c r="L131" s="49"/>
      <c r="O131" s="1" t="s">
        <v>156</v>
      </c>
    </row>
    <row r="132" spans="1:15" ht="32.25" hidden="1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9"/>
      <c r="O132" s="1" t="s">
        <v>157</v>
      </c>
    </row>
    <row r="133" spans="1:15" ht="32.25" hidden="1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9"/>
      <c r="O133" s="1" t="s">
        <v>158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6"/>
      <c r="I134" s="146"/>
      <c r="J134" s="146"/>
      <c r="L134" s="49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9"/>
      <c r="O135" s="1" t="s">
        <v>160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9"/>
      <c r="O136" s="1" t="s">
        <v>161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9"/>
      <c r="O137" s="1" t="s">
        <v>162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9"/>
      <c r="O138" s="1" t="s">
        <v>163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9"/>
      <c r="O139" s="1" t="s">
        <v>164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9"/>
      <c r="O140" s="1" t="s">
        <v>165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9"/>
      <c r="O141" s="1" t="s">
        <v>166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2</v>
      </c>
      <c r="O144" t="s">
        <v>176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43" t="s">
        <v>179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87922.58</v>
      </c>
      <c r="O146" t="s">
        <v>178</v>
      </c>
    </row>
    <row r="149" spans="1:15" ht="52.5" customHeight="1">
      <c r="A149" s="139" t="s">
        <v>184</v>
      </c>
      <c r="B149" s="139"/>
      <c r="C149" s="139"/>
      <c r="D149" s="139"/>
      <c r="E149" s="139"/>
      <c r="F149" s="139"/>
      <c r="G149" s="139"/>
      <c r="H149" s="139"/>
      <c r="I149" s="139"/>
      <c r="J149" s="139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8" t="s">
        <v>71</v>
      </c>
      <c r="B154" s="138"/>
      <c r="C154" s="138"/>
      <c r="D154" s="138"/>
      <c r="E154" s="27">
        <f>ПТО!G1</f>
        <v>-93008.76</v>
      </c>
    </row>
    <row r="155" spans="1:15" ht="34.5" customHeight="1">
      <c r="A155" s="140" t="s">
        <v>72</v>
      </c>
      <c r="B155" s="140"/>
      <c r="C155" s="140"/>
      <c r="D155" s="140"/>
      <c r="E155" s="28">
        <f>J13</f>
        <v>107827.416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19</v>
      </c>
      <c r="B157" s="141"/>
      <c r="C157" s="141"/>
      <c r="D157" s="141"/>
      <c r="E157" s="141"/>
      <c r="F157" s="141" t="s">
        <v>20</v>
      </c>
      <c r="G157" s="141"/>
      <c r="H157" s="20" t="s">
        <v>57</v>
      </c>
      <c r="I157" s="141" t="s">
        <v>21</v>
      </c>
      <c r="J157" s="141"/>
    </row>
    <row r="158" spans="1:15" ht="29.25" customHeight="1">
      <c r="A158" s="135" t="str">
        <f t="shared" ref="A158:A163" si="14">IF(N158&gt;0,N158,0)</f>
        <v>Техническое освидетельствование лифта.</v>
      </c>
      <c r="B158" s="135"/>
      <c r="C158" s="135"/>
      <c r="D158" s="135"/>
      <c r="E158" s="135"/>
      <c r="F158" s="136">
        <f t="shared" ref="F158:F163" si="15">IF(ISERROR(VLOOKUP(A158,$A$28:$J$72,6,FALSE)),0,VLOOKUP(A158,$A$28:$J$72,6,FALSE))</f>
        <v>8100</v>
      </c>
      <c r="G158" s="136"/>
      <c r="H158" s="24" t="str">
        <f t="shared" ref="H158:H187" si="16">VLOOKUP(A158,$A$28:$J$72,8,FALSE)</f>
        <v>ежегодно</v>
      </c>
      <c r="I158" s="137">
        <f t="shared" ref="I158:I161" si="17">VLOOKUP(A158,$A$28:$J$72,9,FALSE)</f>
        <v>1</v>
      </c>
      <c r="J158" s="137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5" t="str">
        <f t="shared" si="14"/>
        <v>Техническое обслуживание системы видеонаблюдения.</v>
      </c>
      <c r="B159" s="135"/>
      <c r="C159" s="135"/>
      <c r="D159" s="135"/>
      <c r="E159" s="135"/>
      <c r="F159" s="136">
        <f t="shared" si="15"/>
        <v>5000</v>
      </c>
      <c r="G159" s="136"/>
      <c r="H159" s="24" t="str">
        <f t="shared" si="16"/>
        <v>ежемесячно</v>
      </c>
      <c r="I159" s="137">
        <f t="shared" si="17"/>
        <v>5</v>
      </c>
      <c r="J159" s="137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35" t="str">
        <f t="shared" si="14"/>
        <v>Техническое обслуживание охранной сигнализации.</v>
      </c>
      <c r="B160" s="135"/>
      <c r="C160" s="135"/>
      <c r="D160" s="135"/>
      <c r="E160" s="135"/>
      <c r="F160" s="136">
        <f t="shared" si="15"/>
        <v>10500</v>
      </c>
      <c r="G160" s="136"/>
      <c r="H160" s="24" t="str">
        <f t="shared" si="16"/>
        <v>ежемесячно</v>
      </c>
      <c r="I160" s="137">
        <f t="shared" si="17"/>
        <v>12</v>
      </c>
      <c r="J160" s="137"/>
      <c r="M160" s="22" t="s">
        <v>76</v>
      </c>
      <c r="N160" s="1" t="str">
        <v>Техническое обслуживание охранной сигнализации.</v>
      </c>
    </row>
    <row r="161" spans="1:14" ht="28.5" hidden="1" customHeight="1">
      <c r="A161" s="135">
        <f>IF(N161&gt;0,N161,0)</f>
        <v>0</v>
      </c>
      <c r="B161" s="135"/>
      <c r="C161" s="135"/>
      <c r="D161" s="135"/>
      <c r="E161" s="135"/>
      <c r="F161" s="136">
        <f t="shared" si="15"/>
        <v>0</v>
      </c>
      <c r="G161" s="136"/>
      <c r="H161" s="24" t="e">
        <f t="shared" si="16"/>
        <v>#N/A</v>
      </c>
      <c r="I161" s="137" t="e">
        <f t="shared" si="17"/>
        <v>#N/A</v>
      </c>
      <c r="J161" s="137"/>
      <c r="M161" s="22" t="s">
        <v>76</v>
      </c>
      <c r="N161" s="1">
        <v>0</v>
      </c>
    </row>
    <row r="162" spans="1:14" ht="28.5" hidden="1" customHeight="1">
      <c r="A162" s="135">
        <f t="shared" si="14"/>
        <v>0</v>
      </c>
      <c r="B162" s="135"/>
      <c r="C162" s="135"/>
      <c r="D162" s="135"/>
      <c r="E162" s="135"/>
      <c r="F162" s="136">
        <f t="shared" si="15"/>
        <v>0</v>
      </c>
      <c r="G162" s="136"/>
      <c r="H162" s="24" t="e">
        <f t="shared" si="16"/>
        <v>#N/A</v>
      </c>
      <c r="I162" s="137" t="e">
        <f>VLOOKUP(A162,$A$28:$J$72,9,FALSE)</f>
        <v>#N/A</v>
      </c>
      <c r="J162" s="137"/>
      <c r="M162" s="22" t="s">
        <v>76</v>
      </c>
      <c r="N162" s="1">
        <v>0</v>
      </c>
    </row>
    <row r="163" spans="1:14" ht="28.5" hidden="1" customHeight="1">
      <c r="A163" s="135">
        <f t="shared" si="14"/>
        <v>0</v>
      </c>
      <c r="B163" s="135"/>
      <c r="C163" s="135"/>
      <c r="D163" s="135"/>
      <c r="E163" s="135"/>
      <c r="F163" s="136">
        <f t="shared" si="15"/>
        <v>0</v>
      </c>
      <c r="G163" s="136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76</v>
      </c>
      <c r="N163" s="1">
        <v>0</v>
      </c>
    </row>
    <row r="164" spans="1:14" ht="28.5" hidden="1" customHeight="1">
      <c r="A164" s="135">
        <f t="shared" ref="A164:A187" si="18">IF(N164&gt;0,N164,0)</f>
        <v>0</v>
      </c>
      <c r="B164" s="135"/>
      <c r="C164" s="135"/>
      <c r="D164" s="135"/>
      <c r="E164" s="135"/>
      <c r="F164" s="136">
        <f t="shared" ref="F164:F187" si="19">IF(ISERROR(VLOOKUP(A164,$A$28:$J$72,6,FALSE)),0,VLOOKUP(A164,$A$28:$J$72,6,FALSE))</f>
        <v>0</v>
      </c>
      <c r="G164" s="136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76</v>
      </c>
      <c r="N164" s="1">
        <v>0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36">
        <f t="shared" si="19"/>
        <v>0</v>
      </c>
      <c r="G165" s="136"/>
      <c r="H165" s="29" t="e">
        <f t="shared" si="16"/>
        <v>#N/A</v>
      </c>
      <c r="I165" s="137" t="e">
        <f t="shared" si="20"/>
        <v>#N/A</v>
      </c>
      <c r="J165" s="137"/>
      <c r="M165" s="22" t="s">
        <v>76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36">
        <f t="shared" si="19"/>
        <v>0</v>
      </c>
      <c r="G166" s="136"/>
      <c r="H166" s="29" t="e">
        <f t="shared" si="16"/>
        <v>#N/A</v>
      </c>
      <c r="I166" s="137" t="e">
        <f t="shared" si="20"/>
        <v>#N/A</v>
      </c>
      <c r="J166" s="137"/>
      <c r="M166" s="22" t="s">
        <v>76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36">
        <f t="shared" si="19"/>
        <v>0</v>
      </c>
      <c r="G167" s="136"/>
      <c r="H167" s="29" t="e">
        <f t="shared" si="16"/>
        <v>#N/A</v>
      </c>
      <c r="I167" s="137" t="e">
        <f t="shared" si="20"/>
        <v>#N/A</v>
      </c>
      <c r="J167" s="137"/>
      <c r="M167" s="22" t="s">
        <v>76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36">
        <f t="shared" si="19"/>
        <v>0</v>
      </c>
      <c r="G168" s="136"/>
      <c r="H168" s="29" t="e">
        <f t="shared" si="16"/>
        <v>#N/A</v>
      </c>
      <c r="I168" s="137" t="e">
        <f t="shared" si="20"/>
        <v>#N/A</v>
      </c>
      <c r="J168" s="137"/>
      <c r="M168" s="22" t="s">
        <v>76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36">
        <f t="shared" si="19"/>
        <v>0</v>
      </c>
      <c r="G169" s="136"/>
      <c r="H169" s="29" t="e">
        <f t="shared" si="16"/>
        <v>#N/A</v>
      </c>
      <c r="I169" s="137" t="e">
        <f t="shared" si="20"/>
        <v>#N/A</v>
      </c>
      <c r="J169" s="137"/>
      <c r="M169" s="22" t="s">
        <v>76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36">
        <f t="shared" si="19"/>
        <v>0</v>
      </c>
      <c r="G170" s="136"/>
      <c r="H170" s="29" t="e">
        <f t="shared" si="16"/>
        <v>#N/A</v>
      </c>
      <c r="I170" s="137" t="e">
        <f t="shared" si="20"/>
        <v>#N/A</v>
      </c>
      <c r="J170" s="137"/>
      <c r="M170" s="22" t="s">
        <v>76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36">
        <f t="shared" si="19"/>
        <v>0</v>
      </c>
      <c r="G171" s="136"/>
      <c r="H171" s="29" t="e">
        <f t="shared" si="16"/>
        <v>#N/A</v>
      </c>
      <c r="I171" s="137" t="e">
        <f t="shared" si="20"/>
        <v>#N/A</v>
      </c>
      <c r="J171" s="137"/>
      <c r="M171" s="22" t="s">
        <v>76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36">
        <f t="shared" si="19"/>
        <v>0</v>
      </c>
      <c r="G172" s="136"/>
      <c r="H172" s="29" t="e">
        <f t="shared" si="16"/>
        <v>#N/A</v>
      </c>
      <c r="I172" s="137" t="e">
        <f t="shared" si="20"/>
        <v>#N/A</v>
      </c>
      <c r="J172" s="137"/>
      <c r="M172" s="22" t="s">
        <v>76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36">
        <f t="shared" si="19"/>
        <v>0</v>
      </c>
      <c r="G173" s="136"/>
      <c r="H173" s="29" t="e">
        <f t="shared" si="16"/>
        <v>#N/A</v>
      </c>
      <c r="I173" s="137" t="e">
        <f t="shared" si="20"/>
        <v>#N/A</v>
      </c>
      <c r="J173" s="137"/>
      <c r="M173" s="22" t="s">
        <v>76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36">
        <f t="shared" si="19"/>
        <v>0</v>
      </c>
      <c r="G174" s="136"/>
      <c r="H174" s="29" t="e">
        <f t="shared" si="16"/>
        <v>#N/A</v>
      </c>
      <c r="I174" s="137" t="e">
        <f t="shared" si="20"/>
        <v>#N/A</v>
      </c>
      <c r="J174" s="137"/>
      <c r="M174" s="22" t="s">
        <v>76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36">
        <f t="shared" si="19"/>
        <v>0</v>
      </c>
      <c r="G175" s="136"/>
      <c r="H175" s="29" t="e">
        <f t="shared" si="16"/>
        <v>#N/A</v>
      </c>
      <c r="I175" s="137" t="e">
        <f t="shared" si="20"/>
        <v>#N/A</v>
      </c>
      <c r="J175" s="137"/>
      <c r="M175" s="22" t="s">
        <v>76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36">
        <f t="shared" si="19"/>
        <v>0</v>
      </c>
      <c r="G176" s="136"/>
      <c r="H176" s="29" t="e">
        <f t="shared" si="16"/>
        <v>#N/A</v>
      </c>
      <c r="I176" s="137" t="e">
        <f t="shared" si="20"/>
        <v>#N/A</v>
      </c>
      <c r="J176" s="137"/>
      <c r="M176" s="22" t="s">
        <v>76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36">
        <f t="shared" si="19"/>
        <v>0</v>
      </c>
      <c r="G177" s="136"/>
      <c r="H177" s="29" t="e">
        <f t="shared" si="16"/>
        <v>#N/A</v>
      </c>
      <c r="I177" s="137" t="e">
        <f t="shared" si="20"/>
        <v>#N/A</v>
      </c>
      <c r="J177" s="137"/>
      <c r="M177" s="22" t="s">
        <v>76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36">
        <f t="shared" si="19"/>
        <v>0</v>
      </c>
      <c r="G178" s="136"/>
      <c r="H178" s="29" t="e">
        <f t="shared" si="16"/>
        <v>#N/A</v>
      </c>
      <c r="I178" s="137" t="e">
        <f t="shared" si="20"/>
        <v>#N/A</v>
      </c>
      <c r="J178" s="137"/>
      <c r="M178" s="22" t="s">
        <v>76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36">
        <f t="shared" si="19"/>
        <v>0</v>
      </c>
      <c r="G179" s="136"/>
      <c r="H179" s="29" t="e">
        <f t="shared" si="16"/>
        <v>#N/A</v>
      </c>
      <c r="I179" s="137" t="e">
        <f t="shared" si="20"/>
        <v>#N/A</v>
      </c>
      <c r="J179" s="137"/>
      <c r="M179" s="22" t="s">
        <v>76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36">
        <f t="shared" si="19"/>
        <v>0</v>
      </c>
      <c r="G180" s="136"/>
      <c r="H180" s="29" t="e">
        <f t="shared" si="16"/>
        <v>#N/A</v>
      </c>
      <c r="I180" s="137" t="e">
        <f t="shared" si="20"/>
        <v>#N/A</v>
      </c>
      <c r="J180" s="137"/>
      <c r="M180" s="22" t="s">
        <v>76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36">
        <f t="shared" si="19"/>
        <v>0</v>
      </c>
      <c r="G181" s="136"/>
      <c r="H181" s="29" t="e">
        <f t="shared" si="16"/>
        <v>#N/A</v>
      </c>
      <c r="I181" s="137" t="e">
        <f t="shared" si="20"/>
        <v>#N/A</v>
      </c>
      <c r="J181" s="137"/>
      <c r="M181" s="22" t="s">
        <v>76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36">
        <f t="shared" si="19"/>
        <v>0</v>
      </c>
      <c r="G182" s="136"/>
      <c r="H182" s="29" t="e">
        <f t="shared" si="16"/>
        <v>#N/A</v>
      </c>
      <c r="I182" s="137" t="e">
        <f t="shared" si="20"/>
        <v>#N/A</v>
      </c>
      <c r="J182" s="137"/>
      <c r="M182" s="22" t="s">
        <v>76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36">
        <f t="shared" si="19"/>
        <v>0</v>
      </c>
      <c r="G183" s="136"/>
      <c r="H183" s="29" t="e">
        <f t="shared" si="16"/>
        <v>#N/A</v>
      </c>
      <c r="I183" s="137" t="e">
        <f t="shared" si="20"/>
        <v>#N/A</v>
      </c>
      <c r="J183" s="137"/>
      <c r="M183" s="22" t="s">
        <v>76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36">
        <f t="shared" si="19"/>
        <v>0</v>
      </c>
      <c r="G184" s="136"/>
      <c r="H184" s="29" t="e">
        <f t="shared" si="16"/>
        <v>#N/A</v>
      </c>
      <c r="I184" s="137" t="e">
        <f t="shared" si="20"/>
        <v>#N/A</v>
      </c>
      <c r="J184" s="137"/>
      <c r="M184" s="22" t="s">
        <v>76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36">
        <f t="shared" si="19"/>
        <v>0</v>
      </c>
      <c r="G185" s="136"/>
      <c r="H185" s="29" t="e">
        <f t="shared" si="16"/>
        <v>#N/A</v>
      </c>
      <c r="I185" s="137" t="e">
        <f t="shared" si="20"/>
        <v>#N/A</v>
      </c>
      <c r="J185" s="137"/>
      <c r="M185" s="22" t="s">
        <v>76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36">
        <f t="shared" si="19"/>
        <v>0</v>
      </c>
      <c r="G186" s="136"/>
      <c r="H186" s="29" t="e">
        <f t="shared" si="16"/>
        <v>#N/A</v>
      </c>
      <c r="I186" s="137" t="e">
        <f t="shared" si="20"/>
        <v>#N/A</v>
      </c>
      <c r="J186" s="137"/>
      <c r="M186" s="22" t="s">
        <v>76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36">
        <f t="shared" si="19"/>
        <v>0</v>
      </c>
      <c r="G187" s="136"/>
      <c r="H187" s="29" t="e">
        <f t="shared" si="16"/>
        <v>#N/A</v>
      </c>
      <c r="I187" s="137" t="e">
        <f t="shared" si="20"/>
        <v>#N/A</v>
      </c>
      <c r="J187" s="137"/>
      <c r="M187" s="22" t="s">
        <v>76</v>
      </c>
      <c r="N187" s="1">
        <v>0</v>
      </c>
    </row>
    <row r="188" spans="1:14" ht="29.25" customHeight="1">
      <c r="A188" s="107" t="s">
        <v>180</v>
      </c>
    </row>
    <row r="189" spans="1:14" ht="29.25" customHeight="1">
      <c r="A189" s="107" t="s">
        <v>180</v>
      </c>
    </row>
    <row r="190" spans="1:14" ht="36.75" customHeight="1">
      <c r="A190" s="138" t="s">
        <v>73</v>
      </c>
      <c r="B190" s="138"/>
      <c r="C190" s="138"/>
      <c r="D190" s="138"/>
      <c r="E190" s="27">
        <f>SUM(F158:G187)</f>
        <v>23600</v>
      </c>
    </row>
    <row r="191" spans="1:14" ht="51.75" customHeight="1">
      <c r="A191" s="138" t="s">
        <v>74</v>
      </c>
      <c r="B191" s="138"/>
      <c r="C191" s="138"/>
      <c r="D191" s="138"/>
      <c r="E191" s="27">
        <f>E190+E154-E155</f>
        <v>-177236.17599999998</v>
      </c>
    </row>
    <row r="192" spans="1:14">
      <c r="A192" s="107" t="s">
        <v>180</v>
      </c>
    </row>
    <row r="193" spans="1:10" ht="62.25" customHeight="1">
      <c r="A193" s="163" t="s">
        <v>78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51">
        <f>ПТО!G12</f>
        <v>1200</v>
      </c>
      <c r="I194" s="52" t="s">
        <v>80</v>
      </c>
    </row>
    <row r="195" spans="1:10" ht="18.75" customHeight="1">
      <c r="A195" s="162" t="str">
        <f>ПТО!F13</f>
        <v xml:space="preserve">  -  техническое освидетельствование лифта</v>
      </c>
      <c r="B195" s="162"/>
      <c r="C195" s="162"/>
      <c r="D195" s="162"/>
      <c r="E195" s="162"/>
      <c r="F195" s="162"/>
      <c r="G195" s="162"/>
      <c r="H195" s="51">
        <f>ПТО!G13</f>
        <v>8100</v>
      </c>
      <c r="I195" s="52" t="s">
        <v>80</v>
      </c>
    </row>
    <row r="196" spans="1:10" ht="18.75" customHeight="1">
      <c r="A196" s="162" t="str">
        <f>ПТО!F14</f>
        <v xml:space="preserve">  -  техническое обслуживание охранной сигнализации</v>
      </c>
      <c r="B196" s="162"/>
      <c r="C196" s="162"/>
      <c r="D196" s="162"/>
      <c r="E196" s="162"/>
      <c r="F196" s="162"/>
      <c r="G196" s="162"/>
      <c r="H196" s="51">
        <f>ПТО!G14</f>
        <v>10500</v>
      </c>
      <c r="I196" s="52" t="s">
        <v>80</v>
      </c>
    </row>
    <row r="197" spans="1:10" ht="18.75" customHeight="1">
      <c r="A197" s="162" t="str">
        <f>ПТО!F15</f>
        <v xml:space="preserve">  -  ремонт подъезда</v>
      </c>
      <c r="B197" s="162"/>
      <c r="C197" s="162"/>
      <c r="D197" s="162"/>
      <c r="E197" s="162"/>
      <c r="F197" s="162"/>
      <c r="G197" s="162"/>
      <c r="H197" s="51">
        <f>ПТО!G15</f>
        <v>210000</v>
      </c>
      <c r="I197" s="52" t="s">
        <v>80</v>
      </c>
    </row>
    <row r="198" spans="1:10" ht="18.75" customHeight="1">
      <c r="A198" s="162" t="str">
        <f>ПТО!F16</f>
        <v xml:space="preserve">  -  ремонт видионаблюдения</v>
      </c>
      <c r="B198" s="162"/>
      <c r="C198" s="162"/>
      <c r="D198" s="162"/>
      <c r="E198" s="162"/>
      <c r="F198" s="162"/>
      <c r="G198" s="162"/>
      <c r="H198" s="51">
        <f>ПТО!G16</f>
        <v>12000</v>
      </c>
      <c r="I198" s="54" t="s">
        <v>80</v>
      </c>
    </row>
    <row r="199" spans="1:10" ht="18.75" customHeight="1">
      <c r="A199" s="162" t="str">
        <f>ПТО!F17</f>
        <v xml:space="preserve">  -  диспетчеризация лифта</v>
      </c>
      <c r="B199" s="162"/>
      <c r="C199" s="162"/>
      <c r="D199" s="162"/>
      <c r="E199" s="162"/>
      <c r="F199" s="162"/>
      <c r="G199" s="162"/>
      <c r="H199" s="51">
        <f>ПТО!G17</f>
        <v>30000</v>
      </c>
      <c r="I199" s="52" t="s">
        <v>80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51">
        <f>ПТО!G18</f>
        <v>0</v>
      </c>
      <c r="I200" s="52" t="s">
        <v>80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51">
        <f>ПТО!G19</f>
        <v>0</v>
      </c>
      <c r="I201" s="52" t="s">
        <v>80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51">
        <f>ПТО!G20</f>
        <v>0</v>
      </c>
      <c r="I202" s="52" t="s">
        <v>80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51">
        <f>ПТО!G21</f>
        <v>0</v>
      </c>
      <c r="I203" s="52" t="s">
        <v>80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51">
        <f>ПТО!G22</f>
        <v>0</v>
      </c>
      <c r="I204" s="52" t="s">
        <v>80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51">
        <f>ПТО!G23</f>
        <v>0</v>
      </c>
      <c r="I205" s="52" t="s">
        <v>80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51">
        <f>ПТО!G24</f>
        <v>0</v>
      </c>
      <c r="I206" s="52" t="s">
        <v>80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51">
        <f>ПТО!G25</f>
        <v>0</v>
      </c>
      <c r="I207" s="52" t="s">
        <v>80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51">
        <f>ПТО!G26</f>
        <v>0</v>
      </c>
      <c r="I208" s="52" t="s">
        <v>80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51">
        <f>ПТО!G27</f>
        <v>0</v>
      </c>
      <c r="I209" s="52" t="s">
        <v>80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51">
        <f>ПТО!G28</f>
        <v>0</v>
      </c>
      <c r="I210" s="52" t="s">
        <v>80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51">
        <f>ПТО!G29</f>
        <v>0</v>
      </c>
      <c r="I211" s="52" t="s">
        <v>80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51">
        <f>ПТО!G30</f>
        <v>0</v>
      </c>
      <c r="I212" s="52" t="s">
        <v>80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51">
        <f>ПТО!G31</f>
        <v>0</v>
      </c>
      <c r="I213" s="52" t="s">
        <v>80</v>
      </c>
    </row>
    <row r="214" spans="1:9">
      <c r="A214" s="55" t="s">
        <v>82</v>
      </c>
      <c r="B214" s="56"/>
      <c r="C214" s="56"/>
      <c r="D214" s="56"/>
      <c r="E214" s="56"/>
      <c r="F214" s="56"/>
      <c r="G214" s="56"/>
      <c r="H214" s="57">
        <f>SUM(H194:H213)</f>
        <v>271800</v>
      </c>
      <c r="I214" s="58" t="s">
        <v>83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7" workbookViewId="0">
      <selection activeCell="K83" sqref="K8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-93008.76</f>
        <v>-93008.76</v>
      </c>
    </row>
    <row r="2" spans="1:12" ht="18.75" customHeight="1">
      <c r="A2" s="126" t="s">
        <v>77</v>
      </c>
      <c r="B2" s="122" t="s">
        <v>187</v>
      </c>
      <c r="C2" s="122">
        <v>1</v>
      </c>
      <c r="D2" s="121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185</v>
      </c>
      <c r="B3" s="122" t="s">
        <v>188</v>
      </c>
      <c r="C3" s="125">
        <v>5</v>
      </c>
      <c r="D3" s="127">
        <f>1000*C3</f>
        <v>5000</v>
      </c>
      <c r="F3" s="30"/>
      <c r="G3" s="30"/>
      <c r="L3" s="33" t="str">
        <f t="shared" si="0"/>
        <v>ТР</v>
      </c>
    </row>
    <row r="4" spans="1:12" ht="18.75" customHeight="1">
      <c r="A4" s="134" t="s">
        <v>186</v>
      </c>
      <c r="B4" s="123" t="s">
        <v>188</v>
      </c>
      <c r="C4" s="124">
        <v>12</v>
      </c>
      <c r="D4" s="128">
        <v>10500</v>
      </c>
      <c r="F4" s="30"/>
      <c r="G4" s="30"/>
      <c r="L4" s="33" t="str">
        <f t="shared" si="0"/>
        <v>ТР</v>
      </c>
    </row>
    <row r="5" spans="1:12" ht="18.75" customHeight="1">
      <c r="A5" s="120"/>
      <c r="B5" s="129"/>
      <c r="C5" s="122"/>
      <c r="D5" s="127"/>
      <c r="E5" s="130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78</v>
      </c>
      <c r="G11" s="114"/>
      <c r="L11" s="33">
        <f t="shared" si="0"/>
        <v>0</v>
      </c>
    </row>
    <row r="12" spans="1:12" ht="31.5">
      <c r="A12" s="30"/>
      <c r="F12" s="115" t="s">
        <v>79</v>
      </c>
      <c r="G12" s="116">
        <v>1200</v>
      </c>
      <c r="L12" s="33">
        <f t="shared" si="0"/>
        <v>0</v>
      </c>
    </row>
    <row r="13" spans="1:12" ht="31.5">
      <c r="A13" s="30"/>
      <c r="F13" s="115" t="s">
        <v>81</v>
      </c>
      <c r="G13" s="116">
        <v>8100</v>
      </c>
      <c r="L13" s="33">
        <f t="shared" si="0"/>
        <v>0</v>
      </c>
    </row>
    <row r="14" spans="1:12" ht="31.5">
      <c r="A14" s="30"/>
      <c r="F14" s="115" t="s">
        <v>193</v>
      </c>
      <c r="G14" s="116">
        <v>10500</v>
      </c>
      <c r="L14" s="33">
        <f t="shared" si="0"/>
        <v>0</v>
      </c>
    </row>
    <row r="15" spans="1:12" ht="15.75">
      <c r="A15" s="30"/>
      <c r="F15" s="131" t="s">
        <v>190</v>
      </c>
      <c r="G15" s="132">
        <v>210000</v>
      </c>
      <c r="L15" s="33">
        <f t="shared" si="0"/>
        <v>0</v>
      </c>
    </row>
    <row r="16" spans="1:12" ht="15.75">
      <c r="A16" s="30"/>
      <c r="F16" s="131" t="s">
        <v>191</v>
      </c>
      <c r="G16" s="133">
        <v>12000</v>
      </c>
      <c r="L16" s="33">
        <f t="shared" si="0"/>
        <v>0</v>
      </c>
    </row>
    <row r="17" spans="1:12" ht="15.75">
      <c r="A17" s="30"/>
      <c r="F17" s="131" t="s">
        <v>192</v>
      </c>
      <c r="G17" s="132">
        <v>30000</v>
      </c>
      <c r="L17" s="33">
        <f t="shared" si="0"/>
        <v>0</v>
      </c>
    </row>
    <row r="18" spans="1:12" ht="15.75">
      <c r="A18" s="30"/>
      <c r="F18" s="131"/>
      <c r="G18" s="133"/>
      <c r="L18" s="33">
        <f t="shared" si="0"/>
        <v>0</v>
      </c>
    </row>
    <row r="19" spans="1:12" ht="15.75">
      <c r="A19" s="30"/>
      <c r="F19" s="131"/>
      <c r="G19" s="132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70974.960000000006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70974.960000000006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94766.080000000002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94766.080000000002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46634.28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46634.28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27298.080000000002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27298.080000000002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9099.36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9099.36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50274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50274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182</v>
      </c>
      <c r="B46" s="38">
        <v>53913.72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53913.72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gqRX9prmr6mQX+x9QYW0i0UULurkgDq4k264qjLahKGoc4q06Tkjfu3aSFheqpcmfoRC6YGi2RTKK826vJwfmA==" saltValue="V7C164yMyR4QvdRKNaBN2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83" sqref="K83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189</v>
      </c>
      <c r="F1" s="62">
        <v>1895.7</v>
      </c>
    </row>
    <row r="2" spans="1:10" ht="15.75" customHeight="1">
      <c r="A2" s="72" t="s">
        <v>88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90</v>
      </c>
      <c r="B4" s="74" t="s">
        <v>4</v>
      </c>
      <c r="C4" s="85">
        <v>194144.73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91</v>
      </c>
      <c r="B5" s="74" t="s">
        <v>5</v>
      </c>
      <c r="C5" s="81">
        <f>SUM(C6:C8)</f>
        <v>460638.196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92</v>
      </c>
      <c r="B6" s="74" t="s">
        <v>6</v>
      </c>
      <c r="C6" s="85">
        <v>352810.78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93</v>
      </c>
      <c r="B7" s="74" t="s">
        <v>7</v>
      </c>
      <c r="C7" s="85">
        <f>F1*4.74*12</f>
        <v>107827.416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94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95</v>
      </c>
      <c r="B9" s="74" t="s">
        <v>9</v>
      </c>
      <c r="C9" s="81">
        <f>SUM(C10:C14)</f>
        <v>490473.59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96</v>
      </c>
      <c r="B10" s="74" t="s">
        <v>10</v>
      </c>
      <c r="C10" s="85">
        <v>490473.59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101</v>
      </c>
      <c r="B15" s="74" t="s">
        <v>15</v>
      </c>
      <c r="C15" s="81">
        <f>C9</f>
        <v>490473.59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104</v>
      </c>
      <c r="B18" s="74" t="s">
        <v>18</v>
      </c>
      <c r="C18" s="81">
        <f>IF(C16&gt;0,0,IF(C4&gt;0,C4+C5-C9,C5-C2-C9))</f>
        <v>164309.33599999995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6"/>
      <c r="N20" s="64"/>
    </row>
    <row r="21" spans="1:15" ht="15.75" customHeight="1">
      <c r="A21" s="72" t="s">
        <v>106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6"/>
      <c r="N21" s="64"/>
    </row>
    <row r="22" spans="1:15" ht="15.75" customHeight="1">
      <c r="A22" s="72" t="s">
        <v>107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6"/>
      <c r="N22" s="64"/>
    </row>
    <row r="23" spans="1:15" ht="15.75" customHeight="1">
      <c r="A23" s="72" t="s">
        <v>108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6"/>
      <c r="N23" s="64"/>
    </row>
    <row r="24" spans="1:15" ht="18.75">
      <c r="A24" s="75" t="s">
        <v>168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5"/>
      <c r="N25" s="65"/>
    </row>
    <row r="26" spans="1:15" ht="18.75" customHeight="1">
      <c r="A26" s="72" t="s">
        <v>110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5"/>
      <c r="N26" s="65"/>
    </row>
    <row r="27" spans="1:15" ht="18.75" customHeight="1">
      <c r="A27" s="72" t="s">
        <v>111</v>
      </c>
      <c r="B27" s="77" t="s">
        <v>4</v>
      </c>
      <c r="C27" s="88">
        <v>61079.12</v>
      </c>
      <c r="D27" s="83" t="s">
        <v>60</v>
      </c>
      <c r="E27" s="66"/>
      <c r="F27" s="66"/>
      <c r="G27" s="66"/>
      <c r="H27" s="66"/>
      <c r="I27" s="66"/>
      <c r="J27" s="66"/>
      <c r="M27" s="165"/>
      <c r="N27" s="65"/>
    </row>
    <row r="28" spans="1:15" ht="18.75" customHeight="1">
      <c r="A28" s="72" t="s">
        <v>112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5"/>
      <c r="N28" s="65"/>
    </row>
    <row r="29" spans="1:15" ht="18.75" customHeight="1">
      <c r="A29" s="72" t="s">
        <v>113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5"/>
      <c r="N29" s="65"/>
    </row>
    <row r="30" spans="1:15" ht="18.75" customHeight="1">
      <c r="A30" s="72" t="s">
        <v>114</v>
      </c>
      <c r="B30" s="77" t="s">
        <v>18</v>
      </c>
      <c r="C30" s="88">
        <v>40187.949999999997</v>
      </c>
      <c r="D30" s="83" t="s">
        <v>66</v>
      </c>
      <c r="E30" s="66"/>
      <c r="F30" s="66"/>
      <c r="G30" s="66"/>
      <c r="H30" s="66"/>
      <c r="I30" s="66"/>
      <c r="J30" s="66"/>
      <c r="M30" s="165"/>
      <c r="N30" s="65"/>
    </row>
    <row r="31" spans="1:15" ht="18.75" customHeight="1">
      <c r="A31" s="72" t="s">
        <v>115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5"/>
      <c r="N31" s="65"/>
    </row>
    <row r="32" spans="1:15" ht="18.75" customHeight="1">
      <c r="A32" s="72" t="s">
        <v>116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5"/>
      <c r="N32" s="65"/>
    </row>
    <row r="33" spans="1:15" ht="18.75" customHeight="1">
      <c r="A33" s="72" t="s">
        <v>117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5"/>
      <c r="N33" s="65"/>
    </row>
    <row r="34" spans="1:15" ht="18.75" customHeight="1">
      <c r="A34" s="72" t="s">
        <v>118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5"/>
      <c r="N34" s="65"/>
    </row>
    <row r="35" spans="1:15" ht="18.75">
      <c r="A35" s="75" t="s">
        <v>169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158969.03</v>
      </c>
      <c r="F37" s="96" t="s">
        <v>173</v>
      </c>
      <c r="G37" s="68"/>
      <c r="H37" s="68"/>
      <c r="I37" s="68"/>
      <c r="L37" s="65"/>
      <c r="M37" s="164"/>
      <c r="N37" s="65"/>
      <c r="O37" s="65"/>
    </row>
    <row r="38" spans="1:15" ht="18.75" customHeight="1">
      <c r="A38" s="72" t="s">
        <v>119</v>
      </c>
      <c r="B38" s="80" t="s">
        <v>37</v>
      </c>
      <c r="C38" s="92">
        <v>145177.20000000001</v>
      </c>
      <c r="D38" s="96" t="s">
        <v>171</v>
      </c>
      <c r="E38" s="70"/>
      <c r="G38" s="69"/>
      <c r="H38" s="69"/>
      <c r="L38" s="65"/>
      <c r="M38" s="164"/>
      <c r="N38" s="65"/>
      <c r="O38" s="65"/>
    </row>
    <row r="39" spans="1:15" ht="18.75" customHeight="1">
      <c r="A39" s="72" t="s">
        <v>120</v>
      </c>
      <c r="B39" s="80" t="s">
        <v>38</v>
      </c>
      <c r="C39" s="93">
        <v>183004.97</v>
      </c>
      <c r="D39" s="96" t="s">
        <v>172</v>
      </c>
      <c r="E39" s="70"/>
      <c r="G39" s="69"/>
      <c r="H39" s="69"/>
      <c r="L39" s="65"/>
      <c r="M39" s="164"/>
      <c r="N39" s="65"/>
      <c r="O39" s="65"/>
    </row>
    <row r="40" spans="1:15" ht="18.75" customHeight="1">
      <c r="A40" s="72" t="s">
        <v>121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64"/>
      <c r="N40" s="65"/>
      <c r="O40" s="65"/>
    </row>
    <row r="41" spans="1:15" ht="18.75" customHeight="1">
      <c r="A41" s="72" t="s">
        <v>122</v>
      </c>
      <c r="B41" s="80" t="s">
        <v>40</v>
      </c>
      <c r="C41" s="95">
        <f>E37</f>
        <v>158969.03</v>
      </c>
      <c r="D41" s="82" t="s">
        <v>59</v>
      </c>
      <c r="E41" s="70"/>
      <c r="G41" s="69"/>
      <c r="H41" s="69"/>
      <c r="L41" s="65"/>
      <c r="M41" s="164"/>
      <c r="N41" s="65"/>
      <c r="O41" s="65"/>
    </row>
    <row r="42" spans="1:15" ht="18.75" customHeight="1">
      <c r="A42" s="72" t="s">
        <v>123</v>
      </c>
      <c r="B42" s="80" t="s">
        <v>41</v>
      </c>
      <c r="C42" s="95">
        <f>E37</f>
        <v>158969.03</v>
      </c>
      <c r="D42" s="82" t="s">
        <v>59</v>
      </c>
      <c r="E42" s="70"/>
      <c r="G42" s="69"/>
      <c r="H42" s="69"/>
      <c r="L42" s="65"/>
      <c r="M42" s="164"/>
      <c r="N42" s="65"/>
      <c r="O42" s="65"/>
    </row>
    <row r="43" spans="1:15" ht="18.75" customHeight="1">
      <c r="A43" s="72" t="s">
        <v>124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4"/>
      <c r="N43" s="65"/>
      <c r="O43" s="65"/>
    </row>
    <row r="44" spans="1:15" ht="30" customHeight="1">
      <c r="A44" s="72" t="s">
        <v>125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4"/>
      <c r="N44" s="65"/>
      <c r="O44" s="65"/>
    </row>
    <row r="45" spans="1:15" ht="18.75">
      <c r="A45" s="75" t="s">
        <v>127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63175.22</v>
      </c>
      <c r="F45" s="96" t="s">
        <v>173</v>
      </c>
      <c r="G45" s="68"/>
      <c r="H45" s="68"/>
      <c r="L45" s="65"/>
      <c r="M45" s="164"/>
      <c r="N45" s="65"/>
      <c r="O45" s="65"/>
    </row>
    <row r="46" spans="1:15" ht="18.75" customHeight="1">
      <c r="A46" s="75" t="s">
        <v>128</v>
      </c>
      <c r="B46" s="80" t="s">
        <v>37</v>
      </c>
      <c r="C46" s="92">
        <v>4536.82</v>
      </c>
      <c r="D46" s="96" t="s">
        <v>174</v>
      </c>
      <c r="E46" s="70"/>
      <c r="G46" s="69"/>
      <c r="H46" s="69"/>
      <c r="L46" s="65"/>
      <c r="M46" s="164"/>
      <c r="N46" s="65"/>
      <c r="O46" s="65"/>
    </row>
    <row r="47" spans="1:15" ht="18.75" customHeight="1">
      <c r="A47" s="75" t="s">
        <v>129</v>
      </c>
      <c r="B47" s="80" t="s">
        <v>38</v>
      </c>
      <c r="C47" s="93">
        <v>65713.48</v>
      </c>
      <c r="D47" s="96" t="s">
        <v>172</v>
      </c>
      <c r="E47" s="70"/>
      <c r="G47" s="69"/>
      <c r="H47" s="69"/>
      <c r="L47" s="65"/>
      <c r="M47" s="164"/>
      <c r="N47" s="65"/>
      <c r="O47" s="65"/>
    </row>
    <row r="48" spans="1:15" ht="18.75" customHeight="1">
      <c r="A48" s="75" t="s">
        <v>130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4"/>
      <c r="N48" s="65"/>
      <c r="O48" s="65"/>
    </row>
    <row r="49" spans="1:15" ht="18.75" customHeight="1">
      <c r="A49" s="75" t="s">
        <v>131</v>
      </c>
      <c r="B49" s="80" t="s">
        <v>40</v>
      </c>
      <c r="C49" s="95">
        <f>E45</f>
        <v>63175.22</v>
      </c>
      <c r="D49" s="82" t="s">
        <v>59</v>
      </c>
      <c r="E49" s="70"/>
      <c r="G49" s="69"/>
      <c r="H49" s="69"/>
      <c r="L49" s="65"/>
      <c r="M49" s="164"/>
      <c r="N49" s="65"/>
      <c r="O49" s="65"/>
    </row>
    <row r="50" spans="1:15" ht="18.75" customHeight="1">
      <c r="A50" s="75" t="s">
        <v>132</v>
      </c>
      <c r="B50" s="80" t="s">
        <v>41</v>
      </c>
      <c r="C50" s="95">
        <f>E45</f>
        <v>63175.22</v>
      </c>
      <c r="D50" s="82" t="s">
        <v>59</v>
      </c>
      <c r="E50" s="70"/>
      <c r="G50" s="69"/>
      <c r="H50" s="69"/>
      <c r="L50" s="65"/>
      <c r="M50" s="164"/>
      <c r="N50" s="65"/>
      <c r="O50" s="65"/>
    </row>
    <row r="51" spans="1:15" ht="18.75" customHeight="1">
      <c r="A51" s="75" t="s">
        <v>133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4"/>
      <c r="N51" s="65"/>
      <c r="O51" s="65"/>
    </row>
    <row r="52" spans="1:15" ht="29.25" customHeight="1">
      <c r="A52" s="75" t="s">
        <v>134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4"/>
      <c r="N52" s="65"/>
      <c r="O52" s="65"/>
    </row>
    <row r="53" spans="1:15" ht="18.75">
      <c r="A53" s="75" t="s">
        <v>135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110756.96</v>
      </c>
      <c r="F53" s="96" t="s">
        <v>173</v>
      </c>
      <c r="G53" s="68"/>
      <c r="H53" s="68"/>
      <c r="L53" s="65"/>
      <c r="M53" s="164"/>
      <c r="N53" s="65"/>
      <c r="O53" s="65"/>
    </row>
    <row r="54" spans="1:15" ht="18.75" customHeight="1">
      <c r="A54" s="75" t="s">
        <v>136</v>
      </c>
      <c r="B54" s="77" t="s">
        <v>37</v>
      </c>
      <c r="C54" s="101">
        <v>7423.39</v>
      </c>
      <c r="D54" s="96" t="s">
        <v>174</v>
      </c>
      <c r="E54" s="71"/>
      <c r="F54" s="91"/>
      <c r="G54" s="66"/>
      <c r="H54" s="66"/>
      <c r="L54" s="65"/>
      <c r="M54" s="164"/>
      <c r="N54" s="65"/>
      <c r="O54" s="65"/>
    </row>
    <row r="55" spans="1:15" ht="18.75" customHeight="1">
      <c r="A55" s="75" t="s">
        <v>137</v>
      </c>
      <c r="B55" s="77" t="s">
        <v>38</v>
      </c>
      <c r="C55" s="88">
        <v>116193.37</v>
      </c>
      <c r="D55" s="96" t="s">
        <v>172</v>
      </c>
      <c r="E55" s="71"/>
      <c r="G55" s="66"/>
      <c r="H55" s="66"/>
      <c r="L55" s="65"/>
      <c r="M55" s="164"/>
      <c r="N55" s="65"/>
      <c r="O55" s="65"/>
    </row>
    <row r="56" spans="1:15" ht="18.75" customHeight="1">
      <c r="A56" s="75" t="s">
        <v>138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4"/>
      <c r="N56" s="65"/>
      <c r="O56" s="65"/>
    </row>
    <row r="57" spans="1:15" ht="18.75" customHeight="1">
      <c r="A57" s="75" t="s">
        <v>139</v>
      </c>
      <c r="B57" s="77" t="s">
        <v>40</v>
      </c>
      <c r="C57" s="95">
        <f>E53</f>
        <v>110756.96</v>
      </c>
      <c r="D57" s="82" t="s">
        <v>59</v>
      </c>
      <c r="E57" s="71"/>
      <c r="G57" s="66"/>
      <c r="H57" s="66"/>
      <c r="L57" s="65"/>
      <c r="M57" s="164"/>
      <c r="N57" s="65"/>
      <c r="O57" s="65"/>
    </row>
    <row r="58" spans="1:15" ht="18.75" customHeight="1">
      <c r="A58" s="75" t="s">
        <v>140</v>
      </c>
      <c r="B58" s="77" t="s">
        <v>41</v>
      </c>
      <c r="C58" s="95">
        <f>E53</f>
        <v>110756.96</v>
      </c>
      <c r="D58" s="82" t="s">
        <v>59</v>
      </c>
      <c r="E58" s="71"/>
      <c r="G58" s="66"/>
      <c r="H58" s="66"/>
      <c r="L58" s="65"/>
      <c r="M58" s="164"/>
      <c r="N58" s="65"/>
      <c r="O58" s="65"/>
    </row>
    <row r="59" spans="1:15" ht="18.75" customHeight="1">
      <c r="A59" s="75" t="s">
        <v>141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4"/>
      <c r="N59" s="65"/>
      <c r="O59" s="65"/>
    </row>
    <row r="60" spans="1:15" ht="33.75" customHeight="1">
      <c r="A60" s="75" t="s">
        <v>142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4"/>
      <c r="N60" s="65"/>
      <c r="O60" s="65"/>
    </row>
    <row r="61" spans="1:15" ht="15.75">
      <c r="A61" s="75" t="s">
        <v>143</v>
      </c>
      <c r="B61" s="79" t="s">
        <v>84</v>
      </c>
      <c r="C61" s="98" t="str">
        <f>IF(E61&gt;0,"Предоставляется",0)</f>
        <v>Предоставляется</v>
      </c>
      <c r="D61" s="98" t="s">
        <v>55</v>
      </c>
      <c r="E61" s="97">
        <v>87344.02</v>
      </c>
      <c r="F61" s="96" t="s">
        <v>173</v>
      </c>
      <c r="G61" s="68"/>
      <c r="H61" s="68"/>
    </row>
    <row r="62" spans="1:15" ht="15.75" customHeight="1">
      <c r="A62" s="75" t="s">
        <v>144</v>
      </c>
      <c r="B62" s="77" t="s">
        <v>37</v>
      </c>
      <c r="C62" s="101">
        <v>161.65</v>
      </c>
      <c r="D62" s="96" t="s">
        <v>174</v>
      </c>
      <c r="E62" s="71"/>
      <c r="G62" s="66"/>
      <c r="H62" s="66"/>
    </row>
    <row r="63" spans="1:15" ht="15.75" customHeight="1">
      <c r="A63" s="75" t="s">
        <v>145</v>
      </c>
      <c r="B63" s="77" t="s">
        <v>38</v>
      </c>
      <c r="C63" s="88">
        <v>74991.33</v>
      </c>
      <c r="D63" s="96" t="s">
        <v>172</v>
      </c>
      <c r="E63" s="71"/>
      <c r="G63" s="66"/>
      <c r="H63" s="66"/>
    </row>
    <row r="64" spans="1:15" ht="15.75" customHeight="1">
      <c r="A64" s="75" t="s">
        <v>146</v>
      </c>
      <c r="B64" s="77" t="s">
        <v>39</v>
      </c>
      <c r="C64" s="95">
        <f>IF(E61-C63&lt;0,0,E61-C63)</f>
        <v>12352.690000000002</v>
      </c>
      <c r="D64" s="82" t="s">
        <v>59</v>
      </c>
      <c r="E64" s="71"/>
      <c r="G64" s="66"/>
      <c r="H64" s="66"/>
    </row>
    <row r="65" spans="1:8" ht="15.75" customHeight="1">
      <c r="A65" s="75" t="s">
        <v>147</v>
      </c>
      <c r="B65" s="77" t="s">
        <v>40</v>
      </c>
      <c r="C65" s="95">
        <f>E61</f>
        <v>87344.02</v>
      </c>
      <c r="D65" s="82" t="s">
        <v>59</v>
      </c>
      <c r="E65" s="71"/>
      <c r="G65" s="66"/>
      <c r="H65" s="66"/>
    </row>
    <row r="66" spans="1:8" ht="15.75" customHeight="1">
      <c r="A66" s="75" t="s">
        <v>148</v>
      </c>
      <c r="B66" s="77" t="s">
        <v>41</v>
      </c>
      <c r="C66" s="95">
        <f>E61</f>
        <v>87344.02</v>
      </c>
      <c r="D66" s="82" t="s">
        <v>59</v>
      </c>
      <c r="E66" s="71"/>
      <c r="G66" s="66"/>
      <c r="H66" s="66"/>
    </row>
    <row r="67" spans="1:8" ht="15.75" customHeight="1">
      <c r="A67" s="75" t="s">
        <v>149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151</v>
      </c>
      <c r="B69" s="79" t="s">
        <v>85</v>
      </c>
      <c r="C69" s="98" t="str">
        <f>IF(E69&gt;0,"Предоставляется",0)</f>
        <v>Предоставляется</v>
      </c>
      <c r="D69" s="98" t="s">
        <v>55</v>
      </c>
      <c r="E69" s="97">
        <v>40200.74</v>
      </c>
      <c r="F69" s="96" t="s">
        <v>173</v>
      </c>
      <c r="G69" s="68"/>
      <c r="H69" s="68"/>
    </row>
    <row r="70" spans="1:8" ht="15.75" customHeight="1">
      <c r="A70" s="75" t="s">
        <v>152</v>
      </c>
      <c r="B70" s="77" t="s">
        <v>37</v>
      </c>
      <c r="C70" s="101">
        <v>2886.95</v>
      </c>
      <c r="D70" s="96" t="s">
        <v>174</v>
      </c>
      <c r="E70" s="71"/>
      <c r="G70" s="66"/>
      <c r="H70" s="66"/>
    </row>
    <row r="71" spans="1:8" ht="15.75" customHeight="1">
      <c r="A71" s="75" t="s">
        <v>153</v>
      </c>
      <c r="B71" s="77" t="s">
        <v>38</v>
      </c>
      <c r="C71" s="88">
        <v>41433.99</v>
      </c>
      <c r="D71" s="96" t="s">
        <v>172</v>
      </c>
      <c r="E71" s="71"/>
      <c r="G71" s="66"/>
      <c r="H71" s="66"/>
    </row>
    <row r="72" spans="1:8" ht="15.75" customHeight="1">
      <c r="A72" s="75" t="s">
        <v>154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155</v>
      </c>
      <c r="B73" s="77" t="s">
        <v>40</v>
      </c>
      <c r="C73" s="95">
        <f>E69</f>
        <v>40200.74</v>
      </c>
      <c r="D73" s="82" t="s">
        <v>59</v>
      </c>
      <c r="E73" s="71"/>
      <c r="G73" s="66"/>
      <c r="H73" s="66"/>
    </row>
    <row r="74" spans="1:8" ht="15.75" customHeight="1">
      <c r="A74" s="75" t="s">
        <v>156</v>
      </c>
      <c r="B74" s="77" t="s">
        <v>41</v>
      </c>
      <c r="C74" s="95">
        <f>E69</f>
        <v>40200.74</v>
      </c>
      <c r="D74" s="82" t="s">
        <v>59</v>
      </c>
      <c r="E74" s="71"/>
      <c r="G74" s="66"/>
      <c r="H74" s="66"/>
    </row>
    <row r="75" spans="1:8" ht="15.75" customHeight="1">
      <c r="A75" s="75" t="s">
        <v>157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159</v>
      </c>
      <c r="B77" s="79" t="s">
        <v>86</v>
      </c>
      <c r="C77" s="98">
        <f>IF(E77&gt;0,"Предоставляется",0)</f>
        <v>0</v>
      </c>
      <c r="D77" s="98" t="s">
        <v>87</v>
      </c>
      <c r="E77" s="97">
        <v>0</v>
      </c>
      <c r="F77" s="96" t="s">
        <v>173</v>
      </c>
      <c r="G77" s="68"/>
      <c r="H77" s="68"/>
    </row>
    <row r="78" spans="1:8" ht="15.75" customHeight="1">
      <c r="A78" s="75" t="s">
        <v>160</v>
      </c>
      <c r="B78" s="77" t="s">
        <v>37</v>
      </c>
      <c r="C78" s="101">
        <v>0</v>
      </c>
      <c r="D78" s="96" t="s">
        <v>175</v>
      </c>
      <c r="E78" s="66"/>
      <c r="G78" s="66"/>
      <c r="H78" s="66"/>
    </row>
    <row r="79" spans="1:8" ht="15.75" customHeight="1">
      <c r="A79" s="75" t="s">
        <v>161</v>
      </c>
      <c r="B79" s="77" t="s">
        <v>38</v>
      </c>
      <c r="C79" s="88">
        <v>0</v>
      </c>
      <c r="D79" s="96" t="s">
        <v>172</v>
      </c>
      <c r="E79" s="66"/>
      <c r="G79" s="66"/>
      <c r="H79" s="66"/>
    </row>
    <row r="80" spans="1:8" ht="15.75" customHeight="1">
      <c r="A80" s="75" t="s">
        <v>162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163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164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4" workbookViewId="0">
      <selection activeCell="K83" sqref="K8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176</v>
      </c>
      <c r="B2" s="61" t="s">
        <v>45</v>
      </c>
      <c r="C2" s="108">
        <v>2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177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178</v>
      </c>
      <c r="B4" s="61" t="s">
        <v>47</v>
      </c>
      <c r="C4" s="109">
        <v>87922.58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2020-03-19T01:39:19Z</dcterms:modified>
</cp:coreProperties>
</file>