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4" i="1"/>
  <c r="G110" i="1"/>
  <c r="F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8" i="1"/>
  <c r="A117" i="1"/>
  <c r="A119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<sst xmlns="http://schemas.openxmlformats.org/spreadsheetml/2006/main" count="557" uniqueCount="206">
  <si>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</si>
  <si>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</si>
  <si>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</si>
  <si>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</si>
  <si>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</si>
  <si>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</si>
  <si>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</si>
  <si>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</si>
  <si>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</si>
  <si>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</si>
  <si>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</si>
  <si>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</si>
  <si>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</si>
  <si>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</si>
  <si>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</si>
  <si>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</si>
  <si>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</si>
  <si>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</si>
  <si>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</si>
  <si>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</si>
  <si>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</si>
  <si>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</si>
  <si>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</si>
  <si>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</si>
  <si>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</si>
  <si>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</si>
  <si>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</si>
  <si>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</si>
  <si>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</si>
  <si>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</si>
  <si>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</si>
  <si>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</si>
  <si>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</si>
  <si>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</si>
  <si>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</si>
  <si>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</si>
  <si>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</si>
  <si>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</si>
  <si>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</si>
  <si>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</si>
  <si>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</si>
  <si>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</si>
  <si>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</si>
  <si>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</si>
  <si>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</si>
  <si>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</si>
  <si>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</si>
  <si>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</si>
  <si>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</si>
  <si>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</si>
  <si>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</si>
  <si>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</si>
  <si>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</si>
  <si>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</si>
  <si>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</si>
  <si>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</si>
  <si>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</si>
  <si>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</si>
  <si>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</si>
  <si>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</si>
  <si>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</si>
  <si>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</si>
  <si>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</si>
  <si>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</si>
  <si>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</si>
  <si>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</si>
  <si>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</si>
  <si>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</si>
  <si>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</si>
  <si>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</si>
  <si>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</si>
  <si>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</si>
  <si>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</si>
  <si>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</si>
  <si>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</si>
  <si>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</si>
  <si>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</si>
  <si>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</si>
  <si>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</si>
  <si>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</si>
  <si>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</si>
  <si>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</si>
  <si>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</si>
  <si>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</si>
  <si>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</si>
  <si>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</si>
  <si>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</si>
  <si>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</si>
  <si>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</si>
  <si>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</si>
  <si>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</si>
  <si>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</si>
  <si>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</si>
  <si>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</si>
  <si>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</si>
  <si>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</si>
  <si>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</si>
  <si>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</si>
  <si>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</si>
  <si>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</si>
  <si>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</si>
  <si>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</si>
  <si>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</si>
  <si>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</si>
  <si>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</si>
  <si>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</si>
  <si>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</si>
  <si>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</si>
  <si>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</si>
  <si>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</si>
  <si>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</si>
  <si>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</si>
  <si>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</si>
  <si>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</si>
  <si>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</si>
  <si>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</si>
  <si>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</si>
  <si>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</si>
  <si>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</si>
  <si>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</si>
  <si>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</si>
  <si>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</si>
  <si>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</si>
  <si>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</si>
  <si>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</si>
  <si>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</si>
  <si>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</si>
  <si>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</si>
  <si>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</si>
  <si>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</si>
  <si>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</si>
  <si>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</si>
  <si>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</si>
  <si>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</si>
  <si>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</si>
  <si>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</si>
  <si>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</si>
  <si>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</si>
  <si>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</si>
  <si>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</si>
  <si>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</si>
  <si>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</si>
  <si>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</si>
  <si>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</si>
  <si>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</si>
  <si>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</si>
  <si>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</si>
  <si>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</si>
  <si>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</si>
  <si>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</si>
  <si>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</si>
  <si>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</si>
  <si>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</si>
  <si>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</si>
  <si>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</si>
  <si>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</si>
  <si>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</si>
  <si>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</si>
  <si>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</si>
  <si>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</si>
  <si>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</si>
  <si>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</si>
  <si>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</si>
  <si>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</si>
  <si>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</si>
  <si>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</si>
  <si>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</si>
  <si>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</si>
  <si>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</si>
  <si>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</si>
  <si>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</si>
  <si>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</si>
  <si>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</si>
  <si>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</si>
  <si>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</si>
  <si>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</si>
  <si>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</si>
  <si>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</si>
  <si>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</si>
  <si>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</si>
  <si>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140/1</t>
  </si>
  <si>
    <t>Техническое обслуживание охранной сигнализации.</t>
  </si>
  <si>
    <t>Перенос уличного датчика температуры.</t>
  </si>
  <si>
    <t>Монтаж системы видеонаблюдения.</t>
  </si>
  <si>
    <t>Ремонт контроллера.</t>
  </si>
  <si>
    <t>ежегодно</t>
  </si>
  <si>
    <t>ежемесячно</t>
  </si>
  <si>
    <t>разово</t>
  </si>
  <si>
    <t>АВР от 21.02.2019</t>
  </si>
  <si>
    <t>АВР от 31.01.2019, Счет №С-75 от 31.01.2019</t>
  </si>
  <si>
    <t>АВР от 27.03.2019</t>
  </si>
  <si>
    <t>площадь дома</t>
  </si>
  <si>
    <t>Изготовление и монтаж решетчатой двери подвального помещения.</t>
  </si>
  <si>
    <t>АВР от 03.10.2019</t>
  </si>
  <si>
    <t>Изготовление и монтаж тамбурной двери.</t>
  </si>
  <si>
    <t>АВР от 29.10.2019, Решение, счет №10218 от 30.08.2019</t>
  </si>
  <si>
    <t>АВР от 29.10.2019, счет №23 от 28.01.2019, заявление, счет №56 от 16.07.2019</t>
  </si>
  <si>
    <t xml:space="preserve">  -  техническое обслуживание охранной сигнализации</t>
  </si>
  <si>
    <t xml:space="preserve">  -  ремонт подъезда</t>
  </si>
  <si>
    <t xml:space="preserve">  -  монтаж козырька над входом в подъезд</t>
  </si>
  <si>
    <t xml:space="preserve">  -  ремонт теплообменника ГВС</t>
  </si>
  <si>
    <t xml:space="preserve">  -  ремонт теплообменника отопления</t>
  </si>
  <si>
    <t>Отчет об исполнении договора управления многоквартирного дома 
Березовый, 140/1 в части текущего ремонта</t>
  </si>
  <si>
    <t>Работы по содержанию земельного участка</t>
  </si>
  <si>
    <t>Услуги и работы по управлению МКД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</si>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</sst>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Font="1" applyFill="1" applyBorder="1" applyAlignment="1"/>
    <xf numFmtId="0" fontId="5" fillId="0" borderId="0" xfId="5" applyFont="1" applyFill="1" applyBorder="1" applyAlignment="1">
      <alignment horizontal="center"/>
    </xf>
    <xf numFmtId="0" fontId="5" fillId="0" borderId="0" xfId="5" applyFill="1" applyBorder="1"/>
    <xf numFmtId="0" fontId="20" fillId="0" borderId="0" xfId="5" applyFont="1" applyFill="1" applyBorder="1" applyAlignment="1">
      <alignment horizontal="center"/>
    </xf>
    <xf numFmtId="0" fontId="5" fillId="0" borderId="0" xfId="5" applyFill="1" applyBorder="1" applyAlignment="1"/>
    <xf numFmtId="0" fontId="5" fillId="0" borderId="0" xfId="5" applyFill="1" applyBorder="1" applyAlignment="1">
      <alignment horizontal="center"/>
    </xf>
    <xf numFmtId="0" fontId="5" fillId="0" borderId="0" xfId="5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4" fillId="0" borderId="0" xfId="4" applyFont="1" applyFill="1" applyBorder="1" applyAlignment="1"/>
    <xf numFmtId="0" fontId="0" fillId="0" borderId="0" xfId="0" applyFill="1"/>
    <xf numFmtId="0" fontId="4" fillId="0" borderId="0" xfId="4" applyFont="1" applyFill="1" applyBorder="1" applyAlignment="1">
      <alignment horizontal="center"/>
    </xf>
    <xf numFmtId="2" fontId="0" fillId="0" borderId="0" xfId="0" applyNumberFormat="1" applyFill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5" applyFont="1" applyFill="1" applyBorder="1"/>
    <xf numFmtId="0" fontId="1" fillId="0" borderId="0" xfId="5" applyFont="1" applyFill="1" applyBorder="1" applyAlignment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50" sqref="F15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8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205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2" t="s">
        <v>1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2"/>
      <c r="L8" s="159"/>
      <c r="M8" s="112"/>
      <c r="N8" s="112"/>
      <c r="O8" s="72" t="s">
        <v>86</v>
      </c>
      <c r="R8" s="16"/>
    </row>
    <row r="9" spans="1:18" ht="18.75" customHeight="1" outlineLevel="1">
      <c r="A9" s="152" t="s">
        <v>2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2"/>
      <c r="L9" s="159"/>
      <c r="M9" s="112"/>
      <c r="N9" s="112"/>
      <c r="O9" s="72" t="s">
        <v>87</v>
      </c>
    </row>
    <row r="10" spans="1:18" ht="18.75" customHeight="1" outlineLevel="1">
      <c r="A10" s="152" t="s">
        <v>3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288679.17</v>
      </c>
      <c r="K10" s="112"/>
      <c r="L10" s="159"/>
      <c r="M10" s="112"/>
      <c r="N10" s="112"/>
      <c r="O10" s="72" t="s">
        <v>88</v>
      </c>
    </row>
    <row r="11" spans="1:18" outlineLevel="1">
      <c r="A11" s="152" t="s">
        <v>4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1032128.1200000001</v>
      </c>
      <c r="K11" s="112"/>
      <c r="L11" s="159"/>
      <c r="M11" s="112"/>
      <c r="N11" s="112"/>
      <c r="O11" s="72" t="s">
        <v>89</v>
      </c>
    </row>
    <row r="12" spans="1:18" ht="18.75" customHeight="1" outlineLevel="1">
      <c r="A12" s="152" t="s">
        <v>5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617247.56000000006</v>
      </c>
      <c r="K12" s="112"/>
      <c r="L12" s="159"/>
      <c r="M12" s="112"/>
      <c r="N12" s="112"/>
      <c r="O12" s="72" t="s">
        <v>90</v>
      </c>
    </row>
    <row r="13" spans="1:18" ht="18.75" customHeight="1" outlineLevel="1">
      <c r="A13" s="152" t="s">
        <v>6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225943.80000000002</v>
      </c>
      <c r="K13" s="112"/>
      <c r="L13" s="159"/>
      <c r="M13" s="112"/>
      <c r="N13" s="112"/>
      <c r="O13" s="72" t="s">
        <v>91</v>
      </c>
    </row>
    <row r="14" spans="1:18" ht="18.75" customHeight="1" outlineLevel="1">
      <c r="A14" s="152" t="s">
        <v>7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188936.76</v>
      </c>
      <c r="K14" s="112"/>
      <c r="L14" s="159"/>
      <c r="M14" s="112"/>
      <c r="N14" s="112"/>
      <c r="O14" s="72" t="s">
        <v>92</v>
      </c>
    </row>
    <row r="15" spans="1:18" ht="18.75" customHeight="1" outlineLevel="1">
      <c r="A15" s="152" t="s">
        <v>8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978479.11</v>
      </c>
      <c r="K15" s="112"/>
      <c r="L15" s="159"/>
      <c r="M15" s="112"/>
      <c r="N15" s="112"/>
      <c r="O15" s="72" t="s">
        <v>93</v>
      </c>
    </row>
    <row r="16" spans="1:18" ht="18.75" customHeight="1" outlineLevel="1">
      <c r="A16" s="152" t="s">
        <v>9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978479.11</v>
      </c>
      <c r="K16" s="112"/>
      <c r="L16" s="159"/>
      <c r="M16" s="112"/>
      <c r="N16" s="112"/>
      <c r="O16" s="72" t="s">
        <v>94</v>
      </c>
    </row>
    <row r="17" spans="1:23" ht="18.75" customHeight="1" outlineLevel="1">
      <c r="A17" s="152" t="s">
        <v>10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2"/>
      <c r="L17" s="159"/>
      <c r="M17" s="112"/>
      <c r="N17" s="112"/>
      <c r="O17" s="72" t="s">
        <v>95</v>
      </c>
    </row>
    <row r="18" spans="1:23" ht="18.75" customHeight="1" outlineLevel="1">
      <c r="A18" s="152" t="s">
        <v>11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2"/>
      <c r="L18" s="159"/>
      <c r="M18" s="112"/>
      <c r="N18" s="112"/>
      <c r="O18" s="72" t="s">
        <v>96</v>
      </c>
    </row>
    <row r="19" spans="1:23" ht="18.75" customHeight="1" outlineLevel="1">
      <c r="A19" s="152" t="s">
        <v>12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2"/>
      <c r="L19" s="159"/>
      <c r="M19" s="112"/>
      <c r="N19" s="112"/>
      <c r="O19" s="72" t="s">
        <v>97</v>
      </c>
    </row>
    <row r="20" spans="1:23" ht="18.75" customHeight="1" outlineLevel="1">
      <c r="A20" s="152" t="s">
        <v>13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2"/>
      <c r="L20" s="159"/>
      <c r="M20" s="112"/>
      <c r="N20" s="112"/>
      <c r="O20" s="72" t="s">
        <v>98</v>
      </c>
    </row>
    <row r="21" spans="1:23" ht="18.75" customHeight="1" outlineLevel="1">
      <c r="A21" s="152" t="s">
        <v>14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978479.11</v>
      </c>
      <c r="K21" s="112"/>
      <c r="L21" s="159"/>
      <c r="M21" s="112"/>
      <c r="N21" s="112"/>
      <c r="O21" s="72" t="s">
        <v>99</v>
      </c>
    </row>
    <row r="22" spans="1:23" ht="18.75" customHeight="1" outlineLevel="1">
      <c r="A22" s="152" t="s">
        <v>15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2"/>
      <c r="L22" s="159"/>
      <c r="M22" s="112"/>
      <c r="N22" s="112"/>
      <c r="O22" s="72" t="s">
        <v>100</v>
      </c>
    </row>
    <row r="23" spans="1:23" ht="18.75" customHeight="1" outlineLevel="1">
      <c r="A23" s="152" t="s">
        <v>16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2"/>
      <c r="L23" s="159"/>
      <c r="M23" s="112"/>
      <c r="N23" s="112"/>
      <c r="O23" s="72" t="s">
        <v>101</v>
      </c>
    </row>
    <row r="24" spans="1:23" ht="18.75" customHeight="1" outlineLevel="1">
      <c r="A24" s="152" t="s">
        <v>17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342328.18000000005</v>
      </c>
      <c r="K24" s="112"/>
      <c r="L24" s="159"/>
      <c r="M24" s="112"/>
      <c r="N24" s="112"/>
      <c r="O24" s="72" t="s">
        <v>102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51" t="s">
        <v>18</v>
      </c>
      <c r="B27" s="151"/>
      <c r="C27" s="151"/>
      <c r="D27" s="151"/>
      <c r="E27" s="151"/>
      <c r="F27" s="151" t="s">
        <v>19</v>
      </c>
      <c r="G27" s="151"/>
      <c r="H27" s="5" t="s">
        <v>55</v>
      </c>
      <c r="I27" s="151" t="s">
        <v>20</v>
      </c>
      <c r="J27" s="151"/>
      <c r="K27" s="112"/>
      <c r="L27" s="16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259989.72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2"/>
      <c r="L28" s="16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3" t="str">
        <f>ПТО!A40</f>
        <v>Работы по содержанию лифта (лифтов)</v>
      </c>
      <c r="B29" s="143"/>
      <c r="C29" s="143"/>
      <c r="D29" s="143"/>
      <c r="E29" s="143"/>
      <c r="F29" s="148">
        <f>VLOOKUP(A29,ПТО!$A$39:$D$53,2,FALSE)</f>
        <v>68081.64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2"/>
      <c r="L29" s="160"/>
      <c r="M29" s="112"/>
      <c r="N29" s="112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3" t="str">
        <f>ПТО!A41</f>
        <v>Работы по содержанию земельного участка</v>
      </c>
      <c r="B30" s="143"/>
      <c r="C30" s="143"/>
      <c r="D30" s="143"/>
      <c r="E30" s="143"/>
      <c r="F30" s="148">
        <f>VLOOKUP(A30,ПТО!$A$39:$D$53,2,FALSE)</f>
        <v>76763.28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2"/>
      <c r="L30" s="160"/>
      <c r="M30" s="112"/>
      <c r="N30" s="112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54830.879999999997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2"/>
      <c r="L31" s="16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2"/>
      <c r="L32" s="160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21932.400000000001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2"/>
      <c r="L33" s="16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112403.28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2"/>
      <c r="L34" s="16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3" t="str">
        <f>ПТО!A46</f>
        <v>Услуги и работы по управлению МКД</v>
      </c>
      <c r="B35" s="143"/>
      <c r="C35" s="143"/>
      <c r="D35" s="143"/>
      <c r="E35" s="143"/>
      <c r="F35" s="148">
        <f>VLOOKUP(A35,ПТО!$A$39:$D$53,2,FALSE)</f>
        <v>182769.6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12"/>
      <c r="L35" s="160"/>
      <c r="M35" s="119"/>
      <c r="N35" s="112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2"/>
      <c r="L36" s="160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2"/>
      <c r="L37" s="160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2"/>
      <c r="L38" s="160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2"/>
      <c r="L39" s="160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2"/>
      <c r="L40" s="160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2"/>
      <c r="L41" s="160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2"/>
      <c r="L42" s="160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43" t="str">
        <f>ПТО!A2</f>
        <v>Техническое освидетельствование лифта.</v>
      </c>
      <c r="B43" s="143"/>
      <c r="C43" s="143"/>
      <c r="D43" s="143"/>
      <c r="E43" s="143"/>
      <c r="F43" s="148">
        <f>VLOOKUP(A43,ПТО!$A$2:$D$31,4,FALSE)</f>
        <v>8100</v>
      </c>
      <c r="G43" s="148"/>
      <c r="H43" s="19" t="str">
        <f>VLOOKUP(A43,ПТО!$A$2:$D$31,2,FALSE)</f>
        <v>ежегодно</v>
      </c>
      <c r="I43" s="144">
        <f>VLOOKUP(A43,ПТО!$A$2:$D$31,3,FALSE)</f>
        <v>1</v>
      </c>
      <c r="J43" s="144"/>
      <c r="K43" s="112"/>
      <c r="L43" s="160"/>
      <c r="M43" s="119"/>
      <c r="N43" s="112"/>
      <c r="O43" s="23" t="str">
        <f t="shared" si="1"/>
        <v>Техническое освидетельствование лифта.</v>
      </c>
      <c r="R43" s="22" t="s">
        <v>74</v>
      </c>
    </row>
    <row r="44" spans="1:18" ht="51" customHeight="1" outlineLevel="1">
      <c r="A44" s="143" t="str">
        <f>ПТО!A3</f>
        <v>Техническое обслуживание охранной сигнализации.</v>
      </c>
      <c r="B44" s="143"/>
      <c r="C44" s="143"/>
      <c r="D44" s="143"/>
      <c r="E44" s="143"/>
      <c r="F44" s="148">
        <f>VLOOKUP(A44,ПТО!$A$2:$D$31,4,FALSE)</f>
        <v>3999.96</v>
      </c>
      <c r="G44" s="148"/>
      <c r="H44" s="25" t="str">
        <f>VLOOKUP(A44,ПТО!$A$2:$D$31,2,FALSE)</f>
        <v>ежемесячно</v>
      </c>
      <c r="I44" s="144">
        <f>VLOOKUP(A44,ПТО!$A$2:$D$31,3,FALSE)</f>
        <v>12</v>
      </c>
      <c r="J44" s="144"/>
      <c r="K44" s="112"/>
      <c r="L44" s="160"/>
      <c r="M44" s="119"/>
      <c r="N44" s="112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43" t="str">
        <f>ПТО!A4</f>
        <v>Перенос уличного датчика температуры.</v>
      </c>
      <c r="B45" s="143"/>
      <c r="C45" s="143"/>
      <c r="D45" s="143"/>
      <c r="E45" s="143"/>
      <c r="F45" s="148">
        <f>VLOOKUP(A45,ПТО!$A$2:$D$31,4,FALSE)</f>
        <v>3233.34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2"/>
      <c r="L45" s="160"/>
      <c r="M45" s="119"/>
      <c r="N45" s="112"/>
      <c r="O45" s="23" t="str">
        <f t="shared" si="1"/>
        <v>Перенос уличного датчика температуры.</v>
      </c>
      <c r="R45" s="22" t="s">
        <v>74</v>
      </c>
    </row>
    <row r="46" spans="1:18" ht="51" customHeight="1" outlineLevel="1">
      <c r="A46" s="143" t="str">
        <f>ПТО!A5</f>
        <v>Монтаж системы видеонаблюдения.</v>
      </c>
      <c r="B46" s="143"/>
      <c r="C46" s="143"/>
      <c r="D46" s="143"/>
      <c r="E46" s="143"/>
      <c r="F46" s="148">
        <f>VLOOKUP(A46,ПТО!$A$2:$D$31,4,FALSE)</f>
        <v>129236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2"/>
      <c r="L46" s="160"/>
      <c r="M46" s="119"/>
      <c r="N46" s="112"/>
      <c r="O46" s="23" t="str">
        <f t="shared" si="1"/>
        <v>Монтаж системы видеонаблюдения.</v>
      </c>
      <c r="R46" s="22" t="s">
        <v>74</v>
      </c>
    </row>
    <row r="47" spans="1:18" ht="51" customHeight="1" outlineLevel="1">
      <c r="A47" s="143" t="str">
        <f>ПТО!A6</f>
        <v>Ремонт контроллера.</v>
      </c>
      <c r="B47" s="143"/>
      <c r="C47" s="143"/>
      <c r="D47" s="143"/>
      <c r="E47" s="143"/>
      <c r="F47" s="148">
        <f>VLOOKUP(A47,ПТО!$A$2:$D$31,4,FALSE)</f>
        <v>1652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12"/>
      <c r="L47" s="160"/>
      <c r="M47" s="119"/>
      <c r="N47" s="112"/>
      <c r="O47" s="23" t="str">
        <f t="shared" si="1"/>
        <v>Ремонт контроллера.</v>
      </c>
      <c r="R47" s="22" t="s">
        <v>74</v>
      </c>
    </row>
    <row r="48" spans="1:18" ht="51" customHeight="1" outlineLevel="1">
      <c r="A48" s="143" t="str">
        <f>ПТО!A7</f>
        <v>Изготовление и монтаж решетчатой двери подвального помещения.</v>
      </c>
      <c r="B48" s="143"/>
      <c r="C48" s="143"/>
      <c r="D48" s="143"/>
      <c r="E48" s="143"/>
      <c r="F48" s="148">
        <f>VLOOKUP(A48,ПТО!$A$2:$D$31,4,FALSE)</f>
        <v>24900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12"/>
      <c r="L48" s="160"/>
      <c r="M48" s="119"/>
      <c r="N48" s="112"/>
      <c r="O48" s="23" t="str">
        <f t="shared" si="1"/>
        <v>Изготовление и монтаж решетчатой двери подвального помещения.</v>
      </c>
      <c r="R48" s="22" t="s">
        <v>74</v>
      </c>
    </row>
    <row r="49" spans="1:18" ht="51" customHeight="1" outlineLevel="1">
      <c r="A49" s="143" t="str">
        <f>ПТО!A8</f>
        <v>Изготовление и монтаж тамбурной двери.</v>
      </c>
      <c r="B49" s="143"/>
      <c r="C49" s="143"/>
      <c r="D49" s="143"/>
      <c r="E49" s="143"/>
      <c r="F49" s="148">
        <f>VLOOKUP(A49,ПТО!$A$2:$D$31,4,FALSE)</f>
        <v>34018.21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12"/>
      <c r="L49" s="160"/>
      <c r="M49" s="119"/>
      <c r="N49" s="112"/>
      <c r="O49" s="23" t="str">
        <f t="shared" si="1"/>
        <v>Изготовление и монтаж тамбурной двери.</v>
      </c>
      <c r="R49" s="22" t="s">
        <v>74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2"/>
      <c r="L50" s="160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2"/>
      <c r="L51" s="160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2"/>
      <c r="L52" s="160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2"/>
      <c r="L53" s="160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2"/>
      <c r="L54" s="160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2"/>
      <c r="L55" s="160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2"/>
      <c r="L56" s="160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2"/>
      <c r="L57" s="160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2"/>
      <c r="L58" s="160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2"/>
      <c r="L59" s="160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2"/>
      <c r="L60" s="160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2"/>
      <c r="L61" s="160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2"/>
      <c r="L62" s="160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2"/>
      <c r="L63" s="160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2"/>
      <c r="L64" s="160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2"/>
      <c r="L65" s="160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2"/>
      <c r="L66" s="160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2"/>
      <c r="L67" s="160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2"/>
      <c r="L68" s="160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2"/>
      <c r="L69" s="160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2"/>
      <c r="L70" s="160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9"/>
      <c r="L71" s="160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2"/>
      <c r="L72" s="160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178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61" t="s">
        <v>25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2"/>
      <c r="L75" s="163"/>
      <c r="M75" s="112"/>
      <c r="N75" s="112"/>
      <c r="O75" s="72" t="s">
        <v>103</v>
      </c>
    </row>
    <row r="76" spans="1:16384" ht="18.75" customHeight="1" outlineLevel="1">
      <c r="A76" s="161" t="s">
        <v>26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2"/>
      <c r="L76" s="163"/>
      <c r="M76" s="112"/>
      <c r="N76" s="112"/>
      <c r="O76" s="72" t="s">
        <v>104</v>
      </c>
    </row>
    <row r="77" spans="1:16384" ht="21.75" customHeight="1" outlineLevel="1">
      <c r="A77" s="161" t="s">
        <v>27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2"/>
      <c r="L77" s="163"/>
      <c r="M77" s="112"/>
      <c r="N77" s="112"/>
      <c r="O77" s="72" t="s">
        <v>105</v>
      </c>
    </row>
    <row r="78" spans="1:16384" ht="18.75" customHeight="1" outlineLevel="1">
      <c r="A78" s="161" t="s">
        <v>28</v>
      </c>
      <c r="B78" s="161"/>
      <c r="C78" s="161"/>
      <c r="D78" s="161"/>
      <c r="E78" s="161"/>
      <c r="F78" s="161"/>
      <c r="G78" s="161"/>
      <c r="H78" s="161"/>
      <c r="I78" s="161"/>
      <c r="J78" s="99">
        <f>VLOOKUP(O78,АО,3,FALSE)</f>
        <v>0</v>
      </c>
      <c r="K78" s="112"/>
      <c r="L78" s="163"/>
      <c r="M78" s="112"/>
      <c r="N78" s="112"/>
      <c r="O78" s="72" t="s">
        <v>106</v>
      </c>
    </row>
    <row r="79" spans="1:16384">
      <c r="A79" s="118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1" t="s">
        <v>1</v>
      </c>
      <c r="B81" s="141"/>
      <c r="C81" s="141"/>
      <c r="D81" s="141"/>
      <c r="E81" s="141"/>
      <c r="F81" s="141"/>
      <c r="G81" s="141"/>
      <c r="H81" s="141"/>
      <c r="I81" s="141"/>
      <c r="J81" s="99">
        <f t="shared" ref="J81:J90" si="2">VLOOKUP(O81,АО,3,FALSE)</f>
        <v>0</v>
      </c>
      <c r="K81" s="112"/>
      <c r="L81" s="149"/>
      <c r="M81" s="112"/>
      <c r="N81" s="112"/>
      <c r="O81" s="72" t="s">
        <v>107</v>
      </c>
    </row>
    <row r="82" spans="1:15" outlineLevel="1">
      <c r="A82" s="141" t="s">
        <v>2</v>
      </c>
      <c r="B82" s="141"/>
      <c r="C82" s="141"/>
      <c r="D82" s="141"/>
      <c r="E82" s="141"/>
      <c r="F82" s="141"/>
      <c r="G82" s="141"/>
      <c r="H82" s="141"/>
      <c r="I82" s="141"/>
      <c r="J82" s="99">
        <f t="shared" si="2"/>
        <v>0</v>
      </c>
      <c r="K82" s="112"/>
      <c r="L82" s="149"/>
      <c r="M82" s="112"/>
      <c r="N82" s="112"/>
      <c r="O82" s="72" t="s">
        <v>108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424599.41</v>
      </c>
      <c r="K83" s="112"/>
      <c r="L83" s="149"/>
      <c r="M83" s="112"/>
      <c r="N83" s="112"/>
      <c r="O83" s="72" t="s">
        <v>109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49"/>
      <c r="M84" s="112"/>
      <c r="N84" s="112"/>
      <c r="O84" s="72" t="s">
        <v>110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49"/>
      <c r="M85" s="112"/>
      <c r="N85" s="112"/>
      <c r="O85" s="72" t="s">
        <v>111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388306.05</v>
      </c>
      <c r="K86" s="112"/>
      <c r="L86" s="149"/>
      <c r="M86" s="112"/>
      <c r="N86" s="112"/>
      <c r="O86" s="72" t="s">
        <v>112</v>
      </c>
    </row>
    <row r="87" spans="1:15" ht="18.75" customHeight="1" outlineLevel="1">
      <c r="A87" s="155" t="s">
        <v>25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49"/>
      <c r="M87" s="112"/>
      <c r="N87" s="112"/>
      <c r="O87" s="72" t="s">
        <v>113</v>
      </c>
    </row>
    <row r="88" spans="1:15" ht="18.75" customHeight="1" outlineLevel="1">
      <c r="A88" s="155" t="s">
        <v>26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49"/>
      <c r="M88" s="112"/>
      <c r="N88" s="112"/>
      <c r="O88" s="72" t="s">
        <v>114</v>
      </c>
    </row>
    <row r="89" spans="1:15" ht="18.75" customHeight="1" outlineLevel="1">
      <c r="A89" s="155" t="s">
        <v>27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49"/>
      <c r="M89" s="112"/>
      <c r="N89" s="112"/>
      <c r="O89" s="72" t="s">
        <v>115</v>
      </c>
    </row>
    <row r="90" spans="1:15" ht="18.75" customHeight="1" outlineLevel="1">
      <c r="A90" s="155" t="s">
        <v>28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49"/>
      <c r="M90" s="112"/>
      <c r="N90" s="112"/>
      <c r="O90" s="72" t="s">
        <v>116</v>
      </c>
    </row>
    <row r="91" spans="1:15">
      <c r="A91" s="107" t="s">
        <v>178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64" t="s">
        <v>46</v>
      </c>
      <c r="B93" s="164"/>
      <c r="C93" s="164"/>
      <c r="D93" s="165" t="s">
        <v>47</v>
      </c>
      <c r="E93" s="165"/>
      <c r="F93" s="10" t="s">
        <v>48</v>
      </c>
      <c r="G93" s="164" t="s">
        <v>49</v>
      </c>
      <c r="H93" s="164"/>
      <c r="I93" s="164"/>
      <c r="J93" s="164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46972.32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42897.1</v>
      </c>
      <c r="L95" s="150"/>
      <c r="O95" s="1" t="s">
        <v>117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43210.82</v>
      </c>
      <c r="L96" s="150"/>
      <c r="O96" s="1" t="s">
        <v>118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3761.5</v>
      </c>
      <c r="L97" s="150"/>
      <c r="O97" s="1" t="s">
        <v>119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46972.32</v>
      </c>
      <c r="L98" s="150"/>
      <c r="O98" s="1" t="s">
        <v>120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46972.32</v>
      </c>
      <c r="L99" s="150"/>
      <c r="O99" s="1" t="s">
        <v>121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122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123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101882.88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7316.54</v>
      </c>
      <c r="L103" s="150"/>
      <c r="O103" s="1" t="s">
        <v>126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85809.45</v>
      </c>
      <c r="L104" s="150"/>
      <c r="O104" s="1" t="s">
        <v>127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16073.430000000008</v>
      </c>
      <c r="L105" s="150"/>
      <c r="O105" s="1" t="s">
        <v>128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101882.88</v>
      </c>
      <c r="L106" s="150"/>
      <c r="O106" s="1" t="s">
        <v>129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101882.88</v>
      </c>
      <c r="L107" s="150"/>
      <c r="O107" s="1" t="s">
        <v>130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131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132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171674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11506.3</v>
      </c>
      <c r="L111" s="150"/>
      <c r="O111" s="1" t="s">
        <v>134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144246.42000000001</v>
      </c>
      <c r="L112" s="150"/>
      <c r="O112" s="1" t="s">
        <v>135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27427.579999999987</v>
      </c>
      <c r="L113" s="150"/>
      <c r="O113" s="1" t="s">
        <v>136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171674</v>
      </c>
      <c r="L114" s="150"/>
      <c r="O114" s="1" t="s">
        <v>137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171674</v>
      </c>
      <c r="L115" s="150"/>
      <c r="O115" s="1" t="s">
        <v>138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139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140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140294.81</v>
      </c>
      <c r="H118" s="146"/>
      <c r="I118" s="146"/>
      <c r="J118" s="146"/>
      <c r="L118" s="49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259.64999999999998</v>
      </c>
      <c r="L119" s="49"/>
      <c r="O119" s="1" t="s">
        <v>142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118757.77</v>
      </c>
      <c r="L120" s="49"/>
      <c r="O120" s="1" t="s">
        <v>143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21537.039999999994</v>
      </c>
      <c r="L121" s="49"/>
      <c r="O121" s="1" t="s">
        <v>144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140294.81</v>
      </c>
      <c r="L122" s="49"/>
      <c r="O122" s="1" t="s">
        <v>145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140294.81</v>
      </c>
      <c r="L123" s="49"/>
      <c r="O123" s="1" t="s">
        <v>146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215949.77</v>
      </c>
      <c r="H126" s="146"/>
      <c r="I126" s="146"/>
      <c r="J126" s="146"/>
      <c r="L126" s="49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15508.06</v>
      </c>
      <c r="L127" s="49"/>
      <c r="O127" s="1" t="s">
        <v>150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223240.81</v>
      </c>
      <c r="L128" s="49"/>
      <c r="O128" s="1" t="s">
        <v>151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9"/>
      <c r="O129" s="1" t="s">
        <v>152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215949.77</v>
      </c>
      <c r="L130" s="49"/>
      <c r="O130" s="1" t="s">
        <v>153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215949.77</v>
      </c>
      <c r="L131" s="49"/>
      <c r="O131" s="1" t="s">
        <v>154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9"/>
      <c r="O133" s="1" t="s">
        <v>156</v>
      </c>
    </row>
    <row r="134" spans="1:15" ht="32.25" customHeight="1" outlineLevel="1">
      <c r="A134" s="145" t="str">
        <f>IF(VLOOKUP("отопление",АО,3,FALSE)&gt;0,"Отопление",0)</f>
        <v>Отопление</v>
      </c>
      <c r="B134" s="145"/>
      <c r="C134" s="145"/>
      <c r="D134" s="146" t="str">
        <f>IF(VLOOKUP("отопление",АО,3,FALSE)&gt;0,VLOOKUP("отопление",АО,3,FALSE),0)</f>
        <v>Предоставляется</v>
      </c>
      <c r="E134" s="146"/>
      <c r="F134" s="13" t="str">
        <f>IF(VLOOKUP("отопление",АО,3,FALSE)&gt;0,VLOOKUP("отопление",АО,4,FALSE),0)</f>
        <v>Гкал</v>
      </c>
      <c r="G134" s="147">
        <f>VLOOKUP("отопление",АО,5,FALSE)</f>
        <v>500472.56</v>
      </c>
      <c r="H134" s="146"/>
      <c r="I134" s="146"/>
      <c r="J134" s="146"/>
      <c r="L134" s="49"/>
    </row>
    <row r="135" spans="1:15" ht="32.25" customHeight="1" outlineLevel="2">
      <c r="A135" s="141" t="str">
        <f t="shared" ref="A135:A141" si="12">IF(VLOOKUP("отопление",АО,3,FALSE)&gt;0,VLOOKUP(O135,АО,2,FALSE),0)</f>
        <v>Общий объем потребления, нат. показ.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366.34</v>
      </c>
      <c r="L135" s="49"/>
      <c r="O135" s="1" t="s">
        <v>158</v>
      </c>
    </row>
    <row r="136" spans="1:15" ht="32.25" customHeight="1" outlineLevel="2">
      <c r="A136" s="141" t="str">
        <f t="shared" si="12"/>
        <v>Оплачено потребителями, руб.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598274.43000000005</v>
      </c>
      <c r="L136" s="49"/>
      <c r="O136" s="1" t="s">
        <v>159</v>
      </c>
    </row>
    <row r="137" spans="1:15" ht="32.25" customHeight="1" outlineLevel="2">
      <c r="A137" s="141" t="str">
        <f t="shared" si="12"/>
        <v>Задолженность потребителей, руб.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9"/>
      <c r="O137" s="1" t="s">
        <v>160</v>
      </c>
    </row>
    <row r="138" spans="1:15" ht="32.25" customHeight="1" outlineLevel="2">
      <c r="A138" s="141" t="str">
        <f t="shared" si="12"/>
        <v>Начислено поставщиком (поставщиками) коммунального ресурса, руб.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500472.56</v>
      </c>
      <c r="L138" s="49"/>
      <c r="O138" s="1" t="s">
        <v>161</v>
      </c>
    </row>
    <row r="139" spans="1:15" ht="32.25" customHeight="1" outlineLevel="2">
      <c r="A139" s="141" t="str">
        <f t="shared" si="12"/>
        <v>Оплачено поставщику (поставщикам) коммунального ресурса, руб.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500472.56</v>
      </c>
      <c r="L139" s="49"/>
      <c r="O139" s="1" t="s">
        <v>162</v>
      </c>
    </row>
    <row r="140" spans="1:15" ht="32.25" customHeight="1" outlineLevel="2">
      <c r="A140" s="141" t="str">
        <f t="shared" si="12"/>
        <v>Задолженность перед поставщиком (поставщиками) коммунального ресурса, руб.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9"/>
      <c r="O140" s="1" t="s">
        <v>163</v>
      </c>
    </row>
    <row r="141" spans="1:15" ht="32.25" customHeight="1" outlineLevel="2">
      <c r="A141" s="141" t="str">
        <f t="shared" si="12"/>
        <v>Размер пени и штрафов, уплаченных поставщику (поставщикам) коммунального ресурса, руб.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9"/>
      <c r="O141" s="1" t="s">
        <v>164</v>
      </c>
    </row>
    <row r="143" spans="1:15">
      <c r="A143" s="11" t="s">
        <v>42</v>
      </c>
    </row>
    <row r="144" spans="1:15" ht="18.75" customHeight="1" outlineLevel="1">
      <c r="A144" s="141" t="s">
        <v>43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6</v>
      </c>
      <c r="O144" t="s">
        <v>174</v>
      </c>
    </row>
    <row r="145" spans="1:15" ht="18.75" customHeight="1" outlineLevel="1">
      <c r="A145" s="141" t="s">
        <v>44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1</v>
      </c>
      <c r="L145" s="15"/>
      <c r="O145" t="s">
        <v>175</v>
      </c>
    </row>
    <row r="146" spans="1:15" ht="30" customHeight="1" outlineLevel="1">
      <c r="A146" s="141" t="s">
        <v>177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275308.65000000002</v>
      </c>
      <c r="O146" t="s">
        <v>176</v>
      </c>
    </row>
    <row r="149" spans="1:15" ht="52.5" customHeight="1">
      <c r="A149" s="166" t="s">
        <v>202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205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8" t="s">
        <v>69</v>
      </c>
      <c r="B154" s="168"/>
      <c r="C154" s="168"/>
      <c r="D154" s="168"/>
      <c r="E154" s="27">
        <f>ПТО!G1</f>
        <v>-132909.54</v>
      </c>
    </row>
    <row r="155" spans="1:15" ht="34.5" customHeight="1">
      <c r="A155" s="167" t="s">
        <v>70</v>
      </c>
      <c r="B155" s="167"/>
      <c r="C155" s="167"/>
      <c r="D155" s="167"/>
      <c r="E155" s="28">
        <f>J13</f>
        <v>225943.80000000002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18</v>
      </c>
      <c r="B157" s="151"/>
      <c r="C157" s="151"/>
      <c r="D157" s="151"/>
      <c r="E157" s="151"/>
      <c r="F157" s="151" t="s">
        <v>19</v>
      </c>
      <c r="G157" s="151"/>
      <c r="H157" s="20" t="s">
        <v>55</v>
      </c>
      <c r="I157" s="151" t="s">
        <v>20</v>
      </c>
      <c r="J157" s="151"/>
    </row>
    <row r="158" spans="1:15" ht="29.25" customHeight="1">
      <c r="A158" s="143" t="str">
        <f t="shared" ref="A158:A163" si="14">IF(N158&gt;0,N158,0)</f>
        <v>Техническое освидетельствование лифта.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ежегодно</v>
      </c>
      <c r="I158" s="144">
        <f t="shared" ref="I158:I161" si="17">VLOOKUP(A158,$A$28:$J$72,9,FALSE)</f>
        <v>1</v>
      </c>
      <c r="J158" s="144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3" t="str">
        <f t="shared" si="14"/>
        <v>Техническое обслуживание охранной сигнализации.</v>
      </c>
      <c r="B159" s="143"/>
      <c r="C159" s="143"/>
      <c r="D159" s="143"/>
      <c r="E159" s="143"/>
      <c r="F159" s="148">
        <f t="shared" si="15"/>
        <v>3999.96</v>
      </c>
      <c r="G159" s="148"/>
      <c r="H159" s="24" t="str">
        <f t="shared" si="16"/>
        <v>ежемесячно</v>
      </c>
      <c r="I159" s="144">
        <f t="shared" si="17"/>
        <v>12</v>
      </c>
      <c r="J159" s="144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43" t="str">
        <f t="shared" si="14"/>
        <v>Перенос уличного датчика температуры.</v>
      </c>
      <c r="B160" s="143"/>
      <c r="C160" s="143"/>
      <c r="D160" s="143"/>
      <c r="E160" s="143"/>
      <c r="F160" s="148">
        <f t="shared" si="15"/>
        <v>3233.34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74</v>
      </c>
      <c r="N160" s="1" t="str">
        <v>Перенос уличного датчика температуры.</v>
      </c>
    </row>
    <row r="161" spans="1:14" ht="28.5" customHeight="1">
      <c r="A161" s="143" t="str">
        <f>IF(N161&gt;0,N161,0)</f>
        <v>Монтаж системы видеонаблюдения.</v>
      </c>
      <c r="B161" s="143"/>
      <c r="C161" s="143"/>
      <c r="D161" s="143"/>
      <c r="E161" s="143"/>
      <c r="F161" s="148">
        <f t="shared" si="15"/>
        <v>129236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74</v>
      </c>
      <c r="N161" s="1" t="str">
        <v>Монтаж системы видеонаблюдения.</v>
      </c>
    </row>
    <row r="162" spans="1:14" ht="28.5" customHeight="1">
      <c r="A162" s="143" t="str">
        <f t="shared" si="14"/>
        <v>Ремонт контроллера.</v>
      </c>
      <c r="B162" s="143"/>
      <c r="C162" s="143"/>
      <c r="D162" s="143"/>
      <c r="E162" s="143"/>
      <c r="F162" s="148">
        <f t="shared" si="15"/>
        <v>1652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74</v>
      </c>
      <c r="N162" s="1" t="str">
        <v>Ремонт контроллера.</v>
      </c>
    </row>
    <row r="163" spans="1:14" ht="28.5" customHeight="1">
      <c r="A163" s="143" t="str">
        <f t="shared" si="14"/>
        <v>Изготовление и монтаж решетчатой двери подвального помещения.</v>
      </c>
      <c r="B163" s="143"/>
      <c r="C163" s="143"/>
      <c r="D163" s="143"/>
      <c r="E163" s="143"/>
      <c r="F163" s="148">
        <f t="shared" si="15"/>
        <v>24900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74</v>
      </c>
      <c r="N163" s="1" t="str">
        <v>Изготовление и монтаж решетчатой двери подвального помещения.</v>
      </c>
    </row>
    <row r="164" spans="1:14" ht="28.5" customHeight="1">
      <c r="A164" s="143" t="str">
        <f t="shared" ref="A164:A187" si="18">IF(N164&gt;0,N164,0)</f>
        <v>Изготовление и монтаж тамбурной двери.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34018.21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74</v>
      </c>
      <c r="N164" s="1" t="str">
        <v>Изготовление и монтаж тамбурной двери.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74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74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74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74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74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74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74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74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74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74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74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74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74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74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74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74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74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74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74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74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74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74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74</v>
      </c>
      <c r="N187" s="1">
        <v>0</v>
      </c>
    </row>
    <row r="188" spans="1:14" ht="29.25" customHeight="1">
      <c r="A188" s="107" t="s">
        <v>178</v>
      </c>
    </row>
    <row r="189" spans="1:14" ht="29.25" customHeight="1">
      <c r="A189" s="107" t="s">
        <v>178</v>
      </c>
    </row>
    <row r="190" spans="1:14" ht="36.75" customHeight="1">
      <c r="A190" s="168" t="s">
        <v>71</v>
      </c>
      <c r="B190" s="168"/>
      <c r="C190" s="168"/>
      <c r="D190" s="168"/>
      <c r="E190" s="27">
        <f>SUM(F158:G187)</f>
        <v>205139.50999999998</v>
      </c>
    </row>
    <row r="191" spans="1:14" ht="51.75" customHeight="1">
      <c r="A191" s="168" t="s">
        <v>72</v>
      </c>
      <c r="B191" s="168"/>
      <c r="C191" s="168"/>
      <c r="D191" s="168"/>
      <c r="E191" s="27">
        <f>E190+E154-E155</f>
        <v>-153713.83000000005</v>
      </c>
    </row>
    <row r="192" spans="1:14">
      <c r="A192" s="107" t="s">
        <v>178</v>
      </c>
    </row>
    <row r="193" spans="1:10" ht="62.25" customHeight="1">
      <c r="A193" s="142" t="s">
        <v>76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51">
        <f>ПТО!G12</f>
        <v>1200</v>
      </c>
      <c r="I194" s="52" t="s">
        <v>78</v>
      </c>
    </row>
    <row r="195" spans="1:10" ht="18.75" customHeight="1">
      <c r="A195" s="140" t="str">
        <f>ПТО!F13</f>
        <v xml:space="preserve">  -  техническое освидетельствование лифта</v>
      </c>
      <c r="B195" s="140"/>
      <c r="C195" s="140"/>
      <c r="D195" s="140"/>
      <c r="E195" s="140"/>
      <c r="F195" s="140"/>
      <c r="G195" s="140"/>
      <c r="H195" s="51">
        <f>ПТО!G13</f>
        <v>8100</v>
      </c>
      <c r="I195" s="52" t="s">
        <v>78</v>
      </c>
    </row>
    <row r="196" spans="1:10" ht="18.75" customHeight="1">
      <c r="A196" s="140" t="str">
        <f>ПТО!F14</f>
        <v xml:space="preserve">  -  техническое обслуживание охранной сигнализации</v>
      </c>
      <c r="B196" s="140"/>
      <c r="C196" s="140"/>
      <c r="D196" s="140"/>
      <c r="E196" s="140"/>
      <c r="F196" s="140"/>
      <c r="G196" s="140"/>
      <c r="H196" s="51">
        <f>ПТО!G14</f>
        <v>4000</v>
      </c>
      <c r="I196" s="52" t="s">
        <v>78</v>
      </c>
    </row>
    <row r="197" spans="1:10" ht="18.75" customHeight="1">
      <c r="A197" s="140" t="str">
        <f>ПТО!F15</f>
        <v xml:space="preserve">  -  ремонт подъезда</v>
      </c>
      <c r="B197" s="140"/>
      <c r="C197" s="140"/>
      <c r="D197" s="140"/>
      <c r="E197" s="140"/>
      <c r="F197" s="140"/>
      <c r="G197" s="140"/>
      <c r="H197" s="51">
        <f>ПТО!G15</f>
        <v>400000</v>
      </c>
      <c r="I197" s="52" t="s">
        <v>78</v>
      </c>
    </row>
    <row r="198" spans="1:10" ht="18.75" customHeight="1">
      <c r="A198" s="140" t="str">
        <f>ПТО!F16</f>
        <v xml:space="preserve">  -  монтаж козырька над входом в подъезд</v>
      </c>
      <c r="B198" s="140"/>
      <c r="C198" s="140"/>
      <c r="D198" s="140"/>
      <c r="E198" s="140"/>
      <c r="F198" s="140"/>
      <c r="G198" s="140"/>
      <c r="H198" s="51">
        <f>ПТО!G16</f>
        <v>42000</v>
      </c>
      <c r="I198" s="54" t="s">
        <v>78</v>
      </c>
    </row>
    <row r="199" spans="1:10" ht="18.75" customHeight="1">
      <c r="A199" s="140" t="str">
        <f>ПТО!F17</f>
        <v xml:space="preserve">  -  ремонт теплообменника ГВС</v>
      </c>
      <c r="B199" s="140"/>
      <c r="C199" s="140"/>
      <c r="D199" s="140"/>
      <c r="E199" s="140"/>
      <c r="F199" s="140"/>
      <c r="G199" s="140"/>
      <c r="H199" s="51">
        <f>ПТО!G17</f>
        <v>29000</v>
      </c>
      <c r="I199" s="52" t="s">
        <v>78</v>
      </c>
    </row>
    <row r="200" spans="1:10">
      <c r="A200" s="140" t="str">
        <f>ПТО!F18</f>
        <v xml:space="preserve">  -  ремонт теплообменника отопления</v>
      </c>
      <c r="B200" s="140"/>
      <c r="C200" s="140"/>
      <c r="D200" s="140"/>
      <c r="E200" s="140"/>
      <c r="F200" s="140"/>
      <c r="G200" s="140"/>
      <c r="H200" s="51">
        <f>ПТО!G18</f>
        <v>36000</v>
      </c>
      <c r="I200" s="52" t="s">
        <v>78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1">
        <f>ПТО!G19</f>
        <v>0</v>
      </c>
      <c r="I201" s="52" t="s">
        <v>78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1">
        <f>ПТО!G20</f>
        <v>0</v>
      </c>
      <c r="I202" s="52" t="s">
        <v>78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1">
        <f>ПТО!G21</f>
        <v>0</v>
      </c>
      <c r="I203" s="52" t="s">
        <v>78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1">
        <f>ПТО!G22</f>
        <v>0</v>
      </c>
      <c r="I204" s="52" t="s">
        <v>78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1">
        <f>ПТО!G23</f>
        <v>0</v>
      </c>
      <c r="I205" s="52" t="s">
        <v>78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1">
        <f>ПТО!G24</f>
        <v>0</v>
      </c>
      <c r="I206" s="52" t="s">
        <v>78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1">
        <f>ПТО!G25</f>
        <v>0</v>
      </c>
      <c r="I207" s="52" t="s">
        <v>78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1">
        <f>ПТО!G26</f>
        <v>0</v>
      </c>
      <c r="I208" s="52" t="s">
        <v>78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1">
        <f>ПТО!G27</f>
        <v>0</v>
      </c>
      <c r="I209" s="52" t="s">
        <v>78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1">
        <f>ПТО!G28</f>
        <v>0</v>
      </c>
      <c r="I210" s="52" t="s">
        <v>78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1">
        <f>ПТО!G29</f>
        <v>0</v>
      </c>
      <c r="I211" s="52" t="s">
        <v>78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1">
        <f>ПТО!G30</f>
        <v>0</v>
      </c>
      <c r="I212" s="52" t="s">
        <v>78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1">
        <f>ПТО!G31</f>
        <v>0</v>
      </c>
      <c r="I213" s="52" t="s">
        <v>78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520300</v>
      </c>
      <c r="I214" s="58" t="s">
        <v>81</v>
      </c>
    </row>
  </sheetData>
  <sheetProtection algorithmName="SHA-512" hashValue="ObdRyGc8YmEqMSa+O6l8YSSdQATK36b3GU0dHiACPonEAmrc2IlY6QXSN/Ey+/bM4EhRB63Xna9B5y9KO4qKrg==" saltValue="6WH3sd3Ig1hoWX7rclJJh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9" workbookViewId="0">
      <selection activeCell="B46" sqref="B4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-132909.54</f>
        <v>-132909.54</v>
      </c>
    </row>
    <row r="2" spans="1:12" ht="18.75" customHeight="1">
      <c r="A2" s="125" t="s">
        <v>75</v>
      </c>
      <c r="B2" s="122" t="s">
        <v>185</v>
      </c>
      <c r="C2" s="122">
        <v>1</v>
      </c>
      <c r="D2" s="121">
        <v>8100</v>
      </c>
      <c r="E2" s="123" t="s">
        <v>188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7" t="s">
        <v>181</v>
      </c>
      <c r="B3" s="122" t="s">
        <v>186</v>
      </c>
      <c r="C3" s="122">
        <v>12</v>
      </c>
      <c r="D3" s="121">
        <v>3999.96</v>
      </c>
      <c r="E3" s="123" t="s">
        <v>188</v>
      </c>
      <c r="F3" s="30"/>
      <c r="G3" s="30"/>
      <c r="L3" s="33" t="str">
        <f t="shared" si="0"/>
        <v>ТР</v>
      </c>
    </row>
    <row r="4" spans="1:12" ht="18.75" customHeight="1">
      <c r="A4" s="125" t="s">
        <v>182</v>
      </c>
      <c r="B4" s="124" t="s">
        <v>187</v>
      </c>
      <c r="C4" s="124">
        <v>1</v>
      </c>
      <c r="D4" s="121">
        <v>3233.34</v>
      </c>
      <c r="E4" s="123" t="s">
        <v>189</v>
      </c>
      <c r="F4" s="30"/>
      <c r="G4" s="30"/>
      <c r="L4" s="33" t="str">
        <f t="shared" si="0"/>
        <v>ТР</v>
      </c>
    </row>
    <row r="5" spans="1:12" ht="18.75" customHeight="1">
      <c r="A5" s="125" t="s">
        <v>183</v>
      </c>
      <c r="B5" s="124" t="s">
        <v>187</v>
      </c>
      <c r="C5" s="124">
        <v>1</v>
      </c>
      <c r="D5" s="121">
        <v>129236</v>
      </c>
      <c r="E5" s="136" t="s">
        <v>196</v>
      </c>
      <c r="F5" s="46"/>
      <c r="G5" s="46"/>
      <c r="K5" s="48"/>
      <c r="L5" s="33" t="str">
        <f t="shared" si="0"/>
        <v>ТР</v>
      </c>
    </row>
    <row r="6" spans="1:12" ht="18.75" customHeight="1">
      <c r="A6" s="125" t="s">
        <v>184</v>
      </c>
      <c r="B6" s="126" t="s">
        <v>187</v>
      </c>
      <c r="C6" s="127">
        <v>1</v>
      </c>
      <c r="D6" s="128">
        <v>1652</v>
      </c>
      <c r="E6" s="123" t="s">
        <v>190</v>
      </c>
      <c r="F6" s="46"/>
      <c r="G6" s="46"/>
      <c r="K6" s="48"/>
      <c r="L6" s="33" t="str">
        <f t="shared" si="0"/>
        <v>ТР</v>
      </c>
    </row>
    <row r="7" spans="1:12" ht="18.75" customHeight="1">
      <c r="A7" s="129" t="s">
        <v>192</v>
      </c>
      <c r="B7" s="131" t="s">
        <v>187</v>
      </c>
      <c r="C7" s="45">
        <v>1</v>
      </c>
      <c r="D7" s="132">
        <v>24900</v>
      </c>
      <c r="E7" s="130" t="s">
        <v>193</v>
      </c>
      <c r="F7" s="47"/>
      <c r="G7" s="47"/>
      <c r="K7" s="48"/>
      <c r="L7" s="33" t="str">
        <f t="shared" si="0"/>
        <v>ТР</v>
      </c>
    </row>
    <row r="8" spans="1:12" ht="18.75" customHeight="1">
      <c r="A8" s="133" t="s">
        <v>194</v>
      </c>
      <c r="B8" s="134" t="s">
        <v>187</v>
      </c>
      <c r="C8" s="43">
        <v>1</v>
      </c>
      <c r="D8" s="44">
        <v>34018.21</v>
      </c>
      <c r="E8" s="135" t="s">
        <v>195</v>
      </c>
      <c r="F8" s="47"/>
      <c r="G8" s="47"/>
      <c r="K8" s="44"/>
      <c r="L8" s="33" t="str">
        <f t="shared" si="0"/>
        <v>ТР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79</v>
      </c>
      <c r="G13" s="116">
        <v>8100</v>
      </c>
      <c r="L13" s="33">
        <f t="shared" si="0"/>
        <v>0</v>
      </c>
    </row>
    <row r="14" spans="1:12" ht="31.5">
      <c r="A14" s="30"/>
      <c r="F14" s="115" t="s">
        <v>197</v>
      </c>
      <c r="G14" s="117">
        <v>4000</v>
      </c>
      <c r="L14" s="33">
        <f t="shared" si="0"/>
        <v>0</v>
      </c>
    </row>
    <row r="15" spans="1:12" ht="15.75">
      <c r="A15" s="30"/>
      <c r="F15" s="138" t="s">
        <v>198</v>
      </c>
      <c r="G15" s="139">
        <v>400000</v>
      </c>
      <c r="L15" s="33">
        <f t="shared" si="0"/>
        <v>0</v>
      </c>
    </row>
    <row r="16" spans="1:12" ht="15.75">
      <c r="A16" s="30"/>
      <c r="F16" s="138" t="s">
        <v>199</v>
      </c>
      <c r="G16" s="139">
        <v>42000</v>
      </c>
      <c r="L16" s="33">
        <f t="shared" si="0"/>
        <v>0</v>
      </c>
    </row>
    <row r="17" spans="1:12" ht="15.75">
      <c r="A17" s="30"/>
      <c r="F17" s="138" t="s">
        <v>200</v>
      </c>
      <c r="G17" s="139">
        <v>29000</v>
      </c>
      <c r="L17" s="33">
        <f t="shared" si="0"/>
        <v>0</v>
      </c>
    </row>
    <row r="18" spans="1:12" ht="15.75">
      <c r="A18" s="30"/>
      <c r="F18" s="138" t="s">
        <v>201</v>
      </c>
      <c r="G18" s="139">
        <v>36000</v>
      </c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259989.72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259989.72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68081.64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68081.64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203</v>
      </c>
      <c r="B41" s="38">
        <v>76763.28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76763.28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54830.879999999997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54830.879999999997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21932.400000000001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21932.400000000001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112403.28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112403.28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204</v>
      </c>
      <c r="B46" s="38">
        <v>182769.6</v>
      </c>
      <c r="C46" s="38" t="s">
        <v>66</v>
      </c>
      <c r="D46" s="50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182769.6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fTrX0rSifsi22soFZ9j8qUUUT5KQ6MvQVc5Q17PNUmjRDad+h3A4SDLAGZN5L+yRZfCBtpshJwk3qr5o9aBB9g==" saltValue="bVAfwNolJbdWf4pS9wJr1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B46" sqref="B4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191</v>
      </c>
      <c r="F1" s="62">
        <v>3765.73</v>
      </c>
    </row>
    <row r="2" spans="1:10" ht="15.75" customHeight="1">
      <c r="A2" s="72" t="s">
        <v>86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87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3</v>
      </c>
      <c r="C4" s="85">
        <v>288679.17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4</v>
      </c>
      <c r="C5" s="81">
        <f>SUM(C6:C8)</f>
        <v>1032128.1200000001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5</v>
      </c>
      <c r="C6" s="85">
        <v>617247.56000000006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6</v>
      </c>
      <c r="C7" s="85">
        <f>F1*5*12</f>
        <v>225943.80000000002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7</v>
      </c>
      <c r="C8" s="85">
        <v>188936.76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8</v>
      </c>
      <c r="C9" s="81">
        <f>SUM(C10:C14)</f>
        <v>978479.11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9</v>
      </c>
      <c r="C10" s="85">
        <v>978479.11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14</v>
      </c>
      <c r="C15" s="81">
        <f>C9</f>
        <v>978479.11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17</v>
      </c>
      <c r="C18" s="81">
        <f>IF(C16&gt;0,0,IF(C4&gt;0,C4+C5-C9,C5-C2-C9))</f>
        <v>342328.18000000005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104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105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106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166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108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109</v>
      </c>
      <c r="B27" s="77" t="s">
        <v>3</v>
      </c>
      <c r="C27" s="88">
        <v>424599.41</v>
      </c>
      <c r="D27" s="83" t="s">
        <v>58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110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111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112</v>
      </c>
      <c r="B30" s="77" t="s">
        <v>17</v>
      </c>
      <c r="C30" s="88">
        <v>388306.05</v>
      </c>
      <c r="D30" s="83" t="s">
        <v>64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113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114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115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116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167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46972.32</v>
      </c>
      <c r="F37" s="96" t="s">
        <v>171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117</v>
      </c>
      <c r="B38" s="80" t="s">
        <v>35</v>
      </c>
      <c r="C38" s="92">
        <v>42897.1</v>
      </c>
      <c r="D38" s="96" t="s">
        <v>169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118</v>
      </c>
      <c r="B39" s="80" t="s">
        <v>36</v>
      </c>
      <c r="C39" s="93">
        <v>43210.82</v>
      </c>
      <c r="D39" s="96" t="s">
        <v>170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119</v>
      </c>
      <c r="B40" s="80" t="s">
        <v>37</v>
      </c>
      <c r="C40" s="95">
        <f>IF(E37-C39&lt;0,0,E37-C39)</f>
        <v>3761.5</v>
      </c>
      <c r="D40" s="82" t="s">
        <v>57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120</v>
      </c>
      <c r="B41" s="80" t="s">
        <v>38</v>
      </c>
      <c r="C41" s="95">
        <f>E37</f>
        <v>46972.32</v>
      </c>
      <c r="D41" s="82" t="s">
        <v>57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121</v>
      </c>
      <c r="B42" s="80" t="s">
        <v>39</v>
      </c>
      <c r="C42" s="95">
        <f>E37</f>
        <v>46972.32</v>
      </c>
      <c r="D42" s="82" t="s">
        <v>57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122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123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125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101882.88</v>
      </c>
      <c r="F45" s="96" t="s">
        <v>171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126</v>
      </c>
      <c r="B46" s="80" t="s">
        <v>35</v>
      </c>
      <c r="C46" s="92">
        <v>7316.54</v>
      </c>
      <c r="D46" s="96" t="s">
        <v>172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127</v>
      </c>
      <c r="B47" s="80" t="s">
        <v>36</v>
      </c>
      <c r="C47" s="93">
        <v>85809.45</v>
      </c>
      <c r="D47" s="96" t="s">
        <v>170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128</v>
      </c>
      <c r="B48" s="80" t="s">
        <v>37</v>
      </c>
      <c r="C48" s="95">
        <f>IF(E45-C47&lt;0,0,E45-C47)</f>
        <v>16073.430000000008</v>
      </c>
      <c r="D48" s="82" t="s">
        <v>57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129</v>
      </c>
      <c r="B49" s="80" t="s">
        <v>38</v>
      </c>
      <c r="C49" s="95">
        <f>E45</f>
        <v>101882.88</v>
      </c>
      <c r="D49" s="82" t="s">
        <v>57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130</v>
      </c>
      <c r="B50" s="80" t="s">
        <v>39</v>
      </c>
      <c r="C50" s="95">
        <f>E45</f>
        <v>101882.88</v>
      </c>
      <c r="D50" s="82" t="s">
        <v>57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131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132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133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171674</v>
      </c>
      <c r="F53" s="96" t="s">
        <v>171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134</v>
      </c>
      <c r="B54" s="77" t="s">
        <v>35</v>
      </c>
      <c r="C54" s="101">
        <v>11506.3</v>
      </c>
      <c r="D54" s="96" t="s">
        <v>172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135</v>
      </c>
      <c r="B55" s="77" t="s">
        <v>36</v>
      </c>
      <c r="C55" s="88">
        <v>144246.42000000001</v>
      </c>
      <c r="D55" s="96" t="s">
        <v>170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136</v>
      </c>
      <c r="B56" s="77" t="s">
        <v>37</v>
      </c>
      <c r="C56" s="95">
        <f>IF(E53-C55&lt;0,0,E53-C55)</f>
        <v>27427.579999999987</v>
      </c>
      <c r="D56" s="82" t="s">
        <v>57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137</v>
      </c>
      <c r="B57" s="77" t="s">
        <v>38</v>
      </c>
      <c r="C57" s="95">
        <f>E53</f>
        <v>171674</v>
      </c>
      <c r="D57" s="82" t="s">
        <v>57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138</v>
      </c>
      <c r="B58" s="77" t="s">
        <v>39</v>
      </c>
      <c r="C58" s="95">
        <f>E53</f>
        <v>171674</v>
      </c>
      <c r="D58" s="82" t="s">
        <v>57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139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140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53</v>
      </c>
      <c r="E61" s="97">
        <v>140294.81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35</v>
      </c>
      <c r="C62" s="101">
        <v>259.64999999999998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36</v>
      </c>
      <c r="C63" s="88">
        <v>118757.77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37</v>
      </c>
      <c r="C64" s="95">
        <f>IF(E61-C63&lt;0,0,E61-C63)</f>
        <v>21537.039999999994</v>
      </c>
      <c r="D64" s="82" t="s">
        <v>57</v>
      </c>
      <c r="E64" s="71"/>
      <c r="G64" s="66"/>
      <c r="H64" s="66"/>
    </row>
    <row r="65" spans="1:8" ht="15.75" customHeight="1">
      <c r="A65" s="75" t="s">
        <v>145</v>
      </c>
      <c r="B65" s="77" t="s">
        <v>38</v>
      </c>
      <c r="C65" s="95">
        <f>E61</f>
        <v>140294.81</v>
      </c>
      <c r="D65" s="82" t="s">
        <v>57</v>
      </c>
      <c r="E65" s="71"/>
      <c r="G65" s="66"/>
      <c r="H65" s="66"/>
    </row>
    <row r="66" spans="1:8" ht="15.75" customHeight="1">
      <c r="A66" s="75" t="s">
        <v>146</v>
      </c>
      <c r="B66" s="77" t="s">
        <v>39</v>
      </c>
      <c r="C66" s="95">
        <f>E61</f>
        <v>140294.81</v>
      </c>
      <c r="D66" s="82" t="s">
        <v>57</v>
      </c>
      <c r="E66" s="71"/>
      <c r="G66" s="66"/>
      <c r="H66" s="66"/>
    </row>
    <row r="67" spans="1:8" ht="15.75" customHeight="1">
      <c r="A67" s="75" t="s">
        <v>147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148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53</v>
      </c>
      <c r="E69" s="97">
        <v>215949.77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35</v>
      </c>
      <c r="C70" s="101">
        <v>15508.06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36</v>
      </c>
      <c r="C71" s="88">
        <v>223240.81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153</v>
      </c>
      <c r="B73" s="77" t="s">
        <v>38</v>
      </c>
      <c r="C73" s="95">
        <f>E69</f>
        <v>215949.77</v>
      </c>
      <c r="D73" s="82" t="s">
        <v>57</v>
      </c>
      <c r="E73" s="71"/>
      <c r="G73" s="66"/>
      <c r="H73" s="66"/>
    </row>
    <row r="74" spans="1:8" ht="15.75" customHeight="1">
      <c r="A74" s="75" t="s">
        <v>154</v>
      </c>
      <c r="B74" s="77" t="s">
        <v>39</v>
      </c>
      <c r="C74" s="95">
        <f>E69</f>
        <v>215949.77</v>
      </c>
      <c r="D74" s="82" t="s">
        <v>57</v>
      </c>
      <c r="E74" s="71"/>
      <c r="G74" s="66"/>
      <c r="H74" s="66"/>
    </row>
    <row r="75" spans="1:8" ht="15.75" customHeight="1">
      <c r="A75" s="75" t="s">
        <v>155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156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 t="str">
        <f>IF(E77&gt;0,"Предоставляется",0)</f>
        <v>Предоставляется</v>
      </c>
      <c r="D77" s="98" t="s">
        <v>85</v>
      </c>
      <c r="E77" s="97">
        <v>500472.56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35</v>
      </c>
      <c r="C78" s="101">
        <v>366.34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36</v>
      </c>
      <c r="C79" s="88">
        <v>598274.43000000005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161</v>
      </c>
      <c r="B81" s="77" t="s">
        <v>38</v>
      </c>
      <c r="C81" s="95">
        <f>E77</f>
        <v>500472.56</v>
      </c>
      <c r="D81" s="82" t="s">
        <v>57</v>
      </c>
      <c r="E81" s="66"/>
      <c r="G81" s="66"/>
      <c r="H81" s="66"/>
    </row>
    <row r="82" spans="1:8" ht="15.75" customHeight="1">
      <c r="A82" s="75" t="s">
        <v>162</v>
      </c>
      <c r="B82" s="77" t="s">
        <v>39</v>
      </c>
      <c r="C82" s="95">
        <f>E77</f>
        <v>500472.56</v>
      </c>
      <c r="D82" s="82" t="s">
        <v>57</v>
      </c>
      <c r="E82" s="66"/>
      <c r="G82" s="66"/>
      <c r="H82" s="66"/>
    </row>
    <row r="83" spans="1:8" ht="15.75" customHeight="1">
      <c r="A83" s="75" t="s">
        <v>163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164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46" sqref="B4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43</v>
      </c>
      <c r="C2" s="108">
        <v>6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44</v>
      </c>
      <c r="C3" s="108">
        <v>1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176</v>
      </c>
      <c r="B4" s="61" t="s">
        <v>45</v>
      </c>
      <c r="C4" s="109">
        <v>275308.65000000002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2020-03-20T03:06:50Z</dcterms:modified>
</cp:coreProperties>
</file>