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2" i="2" l="1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2" i="1" s="1"/>
  <c r="C61" i="3"/>
  <c r="A124" i="1" s="1"/>
  <c r="C77" i="3"/>
  <c r="A140" i="1" s="1"/>
  <c r="C69" i="3"/>
  <c r="A132" i="1" s="1"/>
  <c r="J125" i="1"/>
  <c r="J120" i="1"/>
  <c r="J119" i="1"/>
  <c r="A125" i="1"/>
  <c r="A119" i="1"/>
  <c r="G118" i="1"/>
  <c r="J117" i="1"/>
  <c r="J112" i="1"/>
  <c r="J111" i="1"/>
  <c r="A114" i="1"/>
  <c r="A113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F110" i="1" l="1"/>
  <c r="A115" i="1"/>
  <c r="A118" i="1"/>
  <c r="A121" i="1"/>
  <c r="A116" i="1"/>
  <c r="D118" i="1"/>
  <c r="A122" i="1"/>
  <c r="A111" i="1"/>
  <c r="A117" i="1"/>
  <c r="F118" i="1"/>
  <c r="A123" i="1"/>
  <c r="A120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<sst xmlns="http://schemas.openxmlformats.org/spreadsheetml/2006/main" count="542" uniqueCount="195">
  <si>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</si>
  <si>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</si>
  <si>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</si>
  <si>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</si>
  <si>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</si>
  <si>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</si>
  <si>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</si>
  <si>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</si>
  <si>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</si>
  <si>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</si>
  <si>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</si>
  <si>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</si>
  <si>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</si>
  <si>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</si>
  <si>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</si>
  <si>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</si>
  <si>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</si>
  <si>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</si>
  <si>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</si>
  <si>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</si>
  <si>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</si>
  <si>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</si>
  <si>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</si>
  <si>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</si>
  <si>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</si>
  <si>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</si>
  <si>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</si>
  <si>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</si>
  <si>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</si>
  <si>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</si>
  <si>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</si>
  <si>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</si>
  <si>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</si>
  <si>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</si>
  <si>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</si>
  <si>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</si>
  <si>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</si>
  <si>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</si>
  <si>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</si>
  <si>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</si>
  <si>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</si>
  <si>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</si>
  <si>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</si>
  <si>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</si>
  <si>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</si>
  <si>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</si>
  <si>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</si>
  <si>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</si>
  <si>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</si>
  <si>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</si>
  <si>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</si>
  <si>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</si>
  <si>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</si>
  <si>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</si>
  <si>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</si>
  <si>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</si>
  <si>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</si>
  <si>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</si>
  <si>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</si>
  <si>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</si>
  <si>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</si>
  <si>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</si>
  <si>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</si>
  <si>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</si>
  <si>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</si>
  <si>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</si>
  <si>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</si>
  <si>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</si>
  <si>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</si>
  <si>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</si>
  <si>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</si>
  <si>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</si>
  <si>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</si>
  <si>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</si>
  <si>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</si>
  <si>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</si>
  <si>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</si>
  <si>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</si>
  <si>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</si>
  <si>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</si>
  <si>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</si>
  <si>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</si>
  <si>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</si>
  <si>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</si>
  <si>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</si>
  <si>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</si>
  <si>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</si>
  <si>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</si>
  <si>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</si>
  <si>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</si>
  <si>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</si>
  <si>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</si>
  <si>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</si>
  <si>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</si>
  <si>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</si>
  <si>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</si>
  <si>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</si>
  <si>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</si>
  <si>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</si>
  <si>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</si>
  <si>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</si>
  <si>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</si>
  <si>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</si>
  <si>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</si>
  <si>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</si>
  <si>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</si>
  <si>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</si>
  <si>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</si>
  <si>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</si>
  <si>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</si>
  <si>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</si>
  <si>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</si>
  <si>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</si>
  <si>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</si>
  <si>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</si>
  <si>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</si>
  <si>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</si>
  <si>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</si>
  <si>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</si>
  <si>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</si>
  <si>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</si>
  <si>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</si>
  <si>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</si>
  <si>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</si>
  <si>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</si>
  <si>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</si>
  <si>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</si>
  <si>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</si>
  <si>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</si>
  <si>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</si>
  <si>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</si>
  <si>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</si>
  <si>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</si>
  <si>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</si>
  <si>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</si>
  <si>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</si>
  <si>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</si>
  <si>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</si>
  <si>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</si>
  <si>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</si>
  <si>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</si>
  <si>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</si>
  <si>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</si>
  <si>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</si>
  <si>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</si>
  <si>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</si>
  <si>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</si>
  <si>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</si>
  <si>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</si>
  <si>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</si>
  <si>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</si>
  <si>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</si>
  <si>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</si>
  <si>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</si>
  <si>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</si>
  <si>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</si>
  <si>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</si>
  <si>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</si>
  <si>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</si>
  <si>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</si>
  <si>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</si>
  <si>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</si>
  <si>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</si>
  <si>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</si>
  <si>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</si>
  <si>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</si>
  <si>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</si>
  <si>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</si>
  <si>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</si>
  <si>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</si>
  <si>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</si>
  <si>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</si>
  <si>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</si>
  <si>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</si>
  <si>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</si>
  <si>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</si>
  <si>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</si>
  <si>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(услуги) по управлению многоквартирным домом</t>
  </si>
  <si>
    <t>Отчет об исполнении договора управления многоквартирного дома 
Березовый, 115</t>
  </si>
  <si>
    <t>Услуги промышленных альпинистов.</t>
  </si>
  <si>
    <t>Ремонт теплообменника отопления в ИТП.</t>
  </si>
  <si>
    <t>ежемесячно</t>
  </si>
  <si>
    <t>разово</t>
  </si>
  <si>
    <t>АВР от 28.02.2019</t>
  </si>
  <si>
    <t>АВР от 20.03.2019</t>
  </si>
  <si>
    <t>площадь дома</t>
  </si>
  <si>
    <t>с 01.09.2019 приказ №75 от 17.09.2019, протокол №1-2 от 17.08.2019</t>
  </si>
  <si>
    <t>расторгли договор с 01.09.2019 в связи с уходом дома 114</t>
  </si>
  <si>
    <t>Аварийная замена полотенцесушителя.</t>
  </si>
  <si>
    <t>Техническое обслуживание охранной сигнализации ИТП.</t>
  </si>
  <si>
    <t xml:space="preserve">  -  ремонт подъезда (2,3,4 этажи)</t>
  </si>
  <si>
    <t>АВР от19.12.2019, акт, заявление</t>
  </si>
  <si>
    <t>Отчет об исполнении договора управления многоквартирного дома 
Березовый, 115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</si>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</sst>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/>
  </cellStyleXfs>
  <cellXfs count="16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17" fillId="0" borderId="0" xfId="5" applyNumberFormat="1" applyFont="1" applyFill="1" applyBorder="1" applyAlignment="1"/>
    <xf numFmtId="4" fontId="2" fillId="0" borderId="0" xfId="5" applyNumberFormat="1" applyFill="1" applyBorder="1" applyAlignment="1"/>
    <xf numFmtId="0" fontId="2" fillId="0" borderId="0" xfId="5" applyBorder="1"/>
    <xf numFmtId="0" fontId="2" fillId="0" borderId="0" xfId="5" applyFill="1" applyBorder="1"/>
    <xf numFmtId="0" fontId="2" fillId="0" borderId="0" xfId="5" applyFill="1" applyBorder="1" applyAlignment="1">
      <alignment horizontal="center"/>
    </xf>
    <xf numFmtId="0" fontId="2" fillId="0" borderId="0" xfId="5" applyFill="1" applyBorder="1" applyAlignment="1">
      <alignment horizontal="center" vertical="center"/>
    </xf>
    <xf numFmtId="0" fontId="17" fillId="0" borderId="0" xfId="5" applyFont="1" applyFill="1" applyBorder="1" applyAlignment="1">
      <alignment horizontal="center"/>
    </xf>
    <xf numFmtId="0" fontId="2" fillId="0" borderId="0" xfId="5" applyFill="1" applyBorder="1" applyAlignment="1"/>
    <xf numFmtId="0" fontId="17" fillId="0" borderId="0" xfId="5" applyFont="1" applyFill="1" applyBorder="1" applyAlignment="1"/>
    <xf numFmtId="0" fontId="0" fillId="0" borderId="0" xfId="0" applyFill="1"/>
    <xf numFmtId="0" fontId="27" fillId="6" borderId="0" xfId="9" applyFill="1" applyProtection="1">
      <protection locked="0"/>
    </xf>
    <xf numFmtId="0" fontId="27" fillId="4" borderId="0" xfId="9" applyFill="1" applyProtection="1">
      <protection locked="0"/>
    </xf>
    <xf numFmtId="0" fontId="1" fillId="0" borderId="0" xfId="4" applyFont="1" applyFill="1" applyBorder="1" applyAlignment="1">
      <alignment horizontal="center"/>
    </xf>
    <xf numFmtId="0" fontId="10" fillId="0" borderId="0" xfId="0" applyFont="1" applyBorder="1" applyAlignment="1"/>
    <xf numFmtId="4" fontId="10" fillId="0" borderId="0" xfId="0" applyNumberFormat="1" applyFont="1" applyBorder="1" applyAlignment="1"/>
    <xf numFmtId="0" fontId="7" fillId="0" borderId="0" xfId="0" applyFont="1" applyFill="1" applyBorder="1" applyAlignment="1">
      <alignment horizontal="left" wrapText="1"/>
    </xf>
    <xf numFmtId="0" fontId="9" fillId="0" borderId="1" xfId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9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9" fillId="0" borderId="1" xfId="0" applyFont="1" applyBorder="1" applyAlignment="1">
      <alignment horizontal="left" wrapText="1"/>
    </xf>
    <xf numFmtId="0" fontId="9" fillId="0" borderId="1" xfId="1" applyFont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Обычный 6" xfId="9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151" sqref="H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54" t="s">
        <v>178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193</v>
      </c>
      <c r="E4" s="120">
        <v>43466</v>
      </c>
      <c r="K4" s="112"/>
      <c r="L4" s="112"/>
      <c r="M4" s="112"/>
      <c r="N4" s="112"/>
    </row>
    <row r="5" spans="1:18">
      <c r="A5" s="1" t="s">
        <v>0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48" t="s">
        <v>1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2"/>
      <c r="L8" s="155"/>
      <c r="M8" s="112"/>
      <c r="N8" s="112"/>
      <c r="O8" s="72" t="s">
        <v>84</v>
      </c>
      <c r="R8" s="16"/>
    </row>
    <row r="9" spans="1:18" ht="18.75" customHeight="1" outlineLevel="1">
      <c r="A9" s="148" t="s">
        <v>2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2"/>
      <c r="L9" s="155"/>
      <c r="M9" s="112"/>
      <c r="N9" s="112"/>
      <c r="O9" s="72" t="s">
        <v>85</v>
      </c>
    </row>
    <row r="10" spans="1:18" ht="18.75" customHeight="1" outlineLevel="1">
      <c r="A10" s="148" t="s">
        <v>3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55235.37</v>
      </c>
      <c r="K10" s="112"/>
      <c r="L10" s="155"/>
      <c r="M10" s="112"/>
      <c r="N10" s="112"/>
      <c r="O10" s="72" t="s">
        <v>86</v>
      </c>
    </row>
    <row r="11" spans="1:18" outlineLevel="1">
      <c r="A11" s="148" t="s">
        <v>4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199567.15000000002</v>
      </c>
      <c r="K11" s="112"/>
      <c r="L11" s="155"/>
      <c r="M11" s="112"/>
      <c r="N11" s="112"/>
      <c r="O11" s="72" t="s">
        <v>87</v>
      </c>
    </row>
    <row r="12" spans="1:18" ht="18.75" customHeight="1" outlineLevel="1">
      <c r="A12" s="148" t="s">
        <v>5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134251.39000000001</v>
      </c>
      <c r="K12" s="112"/>
      <c r="L12" s="155"/>
      <c r="M12" s="112"/>
      <c r="N12" s="112"/>
      <c r="O12" s="72" t="s">
        <v>88</v>
      </c>
    </row>
    <row r="13" spans="1:18" ht="18.75" customHeight="1" outlineLevel="1">
      <c r="A13" s="148" t="s">
        <v>6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46490.34</v>
      </c>
      <c r="K13" s="112"/>
      <c r="L13" s="155"/>
      <c r="M13" s="112"/>
      <c r="N13" s="112"/>
      <c r="O13" s="72" t="s">
        <v>89</v>
      </c>
    </row>
    <row r="14" spans="1:18" ht="18.75" customHeight="1" outlineLevel="1">
      <c r="A14" s="148" t="s">
        <v>7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18825.419999999998</v>
      </c>
      <c r="K14" s="112"/>
      <c r="L14" s="155"/>
      <c r="M14" s="112"/>
      <c r="N14" s="112"/>
      <c r="O14" s="72" t="s">
        <v>90</v>
      </c>
    </row>
    <row r="15" spans="1:18" ht="18.75" customHeight="1" outlineLevel="1">
      <c r="A15" s="148" t="s">
        <v>8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224831.71</v>
      </c>
      <c r="K15" s="112"/>
      <c r="L15" s="155"/>
      <c r="M15" s="112"/>
      <c r="N15" s="112"/>
      <c r="O15" s="72" t="s">
        <v>91</v>
      </c>
    </row>
    <row r="16" spans="1:18" ht="18.75" customHeight="1" outlineLevel="1">
      <c r="A16" s="148" t="s">
        <v>9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224831.71</v>
      </c>
      <c r="K16" s="112"/>
      <c r="L16" s="155"/>
      <c r="M16" s="112"/>
      <c r="N16" s="112"/>
      <c r="O16" s="72" t="s">
        <v>92</v>
      </c>
    </row>
    <row r="17" spans="1:23" ht="18.75" customHeight="1" outlineLevel="1">
      <c r="A17" s="148" t="s">
        <v>10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2"/>
      <c r="L17" s="155"/>
      <c r="M17" s="112"/>
      <c r="N17" s="112"/>
      <c r="O17" s="72" t="s">
        <v>93</v>
      </c>
    </row>
    <row r="18" spans="1:23" ht="18.75" customHeight="1" outlineLevel="1">
      <c r="A18" s="148" t="s">
        <v>11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2"/>
      <c r="L18" s="155"/>
      <c r="M18" s="112"/>
      <c r="N18" s="112"/>
      <c r="O18" s="72" t="s">
        <v>94</v>
      </c>
    </row>
    <row r="19" spans="1:23" ht="18.75" customHeight="1" outlineLevel="1">
      <c r="A19" s="148" t="s">
        <v>12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2"/>
      <c r="L19" s="155"/>
      <c r="M19" s="112"/>
      <c r="N19" s="112"/>
      <c r="O19" s="72" t="s">
        <v>95</v>
      </c>
    </row>
    <row r="20" spans="1:23" ht="18.75" customHeight="1" outlineLevel="1">
      <c r="A20" s="148" t="s">
        <v>13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2"/>
      <c r="L20" s="155"/>
      <c r="M20" s="112"/>
      <c r="N20" s="112"/>
      <c r="O20" s="72" t="s">
        <v>96</v>
      </c>
    </row>
    <row r="21" spans="1:23" ht="18.75" customHeight="1" outlineLevel="1">
      <c r="A21" s="148" t="s">
        <v>14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224831.71</v>
      </c>
      <c r="K21" s="112"/>
      <c r="L21" s="155"/>
      <c r="M21" s="112"/>
      <c r="N21" s="112"/>
      <c r="O21" s="72" t="s">
        <v>97</v>
      </c>
    </row>
    <row r="22" spans="1:23" ht="18.75" customHeight="1" outlineLevel="1">
      <c r="A22" s="148" t="s">
        <v>15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2"/>
      <c r="L22" s="155"/>
      <c r="M22" s="112"/>
      <c r="N22" s="112"/>
      <c r="O22" s="72" t="s">
        <v>98</v>
      </c>
    </row>
    <row r="23" spans="1:23" ht="18.75" customHeight="1" outlineLevel="1">
      <c r="A23" s="148" t="s">
        <v>16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2"/>
      <c r="L23" s="155"/>
      <c r="M23" s="112"/>
      <c r="N23" s="112"/>
      <c r="O23" s="72" t="s">
        <v>99</v>
      </c>
    </row>
    <row r="24" spans="1:23" ht="18.75" customHeight="1" outlineLevel="1">
      <c r="A24" s="148" t="s">
        <v>17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29970.810000000027</v>
      </c>
      <c r="K24" s="112"/>
      <c r="L24" s="155"/>
      <c r="M24" s="112"/>
      <c r="N24" s="112"/>
      <c r="O24" s="72" t="s">
        <v>100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47" t="s">
        <v>18</v>
      </c>
      <c r="B27" s="147"/>
      <c r="C27" s="147"/>
      <c r="D27" s="147"/>
      <c r="E27" s="147"/>
      <c r="F27" s="147" t="s">
        <v>19</v>
      </c>
      <c r="G27" s="147"/>
      <c r="H27" s="5" t="s">
        <v>55</v>
      </c>
      <c r="I27" s="147" t="s">
        <v>20</v>
      </c>
      <c r="J27" s="147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19085.52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9" t="str">
        <f>ПТО!A40</f>
        <v>Работы (услуги) по управлению многоквартирным домом</v>
      </c>
      <c r="B29" s="139"/>
      <c r="C29" s="139"/>
      <c r="D29" s="139"/>
      <c r="E29" s="139"/>
      <c r="F29" s="144">
        <f>VLOOKUP(A29,ПТО!$A$39:$D$53,2,FALSE)</f>
        <v>56466</v>
      </c>
      <c r="G29" s="144"/>
      <c r="H29" s="42" t="str">
        <f>VLOOKUP(A29,ПТО!$A$39:$D$53,3,FALSE)</f>
        <v>Ежемесячно</v>
      </c>
      <c r="I29" s="140">
        <f>VLOOKUP(A29,ПТО!$A$39:$D$53,4,FALSE)</f>
        <v>12</v>
      </c>
      <c r="J29" s="140"/>
      <c r="K29" s="112"/>
      <c r="L29" s="156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73</v>
      </c>
    </row>
    <row r="30" spans="1:23" ht="45.75" customHeight="1" outlineLevel="1">
      <c r="A30" s="139" t="str">
        <f>ПТО!A41</f>
        <v xml:space="preserve">Работы по содержанию земельного участка </v>
      </c>
      <c r="B30" s="139"/>
      <c r="C30" s="139"/>
      <c r="D30" s="139"/>
      <c r="E30" s="139"/>
      <c r="F30" s="144">
        <f>VLOOKUP(A30,ПТО!$A$39:$D$53,2,FALSE)</f>
        <v>25974.36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56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13551.84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56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5646.6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28684.68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9">
        <f>ПТО!A46</f>
        <v>0</v>
      </c>
      <c r="B35" s="139"/>
      <c r="C35" s="139"/>
      <c r="D35" s="139"/>
      <c r="E35" s="139"/>
      <c r="F35" s="144" t="e">
        <f>VLOOKUP(A35,ПТО!$A$39:$D$53,2,FALSE)</f>
        <v>#N/A</v>
      </c>
      <c r="G35" s="144"/>
      <c r="H35" s="42" t="e">
        <f>VLOOKUP(A35,ПТО!$A$39:$D$53,3,FALSE)</f>
        <v>#N/A</v>
      </c>
      <c r="I35" s="140" t="e">
        <f>VLOOKUP(A35,ПТО!$A$39:$D$53,4,FALSE)</f>
        <v>#N/A</v>
      </c>
      <c r="J35" s="140"/>
      <c r="K35" s="112"/>
      <c r="L35" s="156"/>
      <c r="M35" s="119"/>
      <c r="N35" s="112"/>
      <c r="O35" s="23">
        <f t="shared" si="1"/>
        <v>0</v>
      </c>
      <c r="R35" s="1" t="s">
        <v>73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56"/>
      <c r="M36" s="119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56"/>
      <c r="M37" s="119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56"/>
      <c r="M38" s="119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56"/>
      <c r="M39" s="119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56"/>
      <c r="M40" s="119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56"/>
      <c r="M41" s="119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56"/>
      <c r="M42" s="119"/>
      <c r="N42" s="112"/>
      <c r="O42" s="23">
        <f t="shared" si="1"/>
        <v>0</v>
      </c>
      <c r="R42" s="1" t="s">
        <v>73</v>
      </c>
    </row>
    <row r="43" spans="1:18" ht="51" customHeight="1" outlineLevel="1">
      <c r="A43" s="139" t="str">
        <f>ПТО!A2</f>
        <v>Техническое обслуживание охранной сигнализации ИТП.</v>
      </c>
      <c r="B43" s="139"/>
      <c r="C43" s="139"/>
      <c r="D43" s="139"/>
      <c r="E43" s="139"/>
      <c r="F43" s="144">
        <f>VLOOKUP(A43,ПТО!$A$2:$D$31,4,FALSE)</f>
        <v>3816</v>
      </c>
      <c r="G43" s="144"/>
      <c r="H43" s="19" t="str">
        <f>VLOOKUP(A43,ПТО!$A$2:$D$31,2,FALSE)</f>
        <v>ежемесячно</v>
      </c>
      <c r="I43" s="140">
        <f>VLOOKUP(A43,ПТО!$A$2:$D$31,3,FALSE)</f>
        <v>8</v>
      </c>
      <c r="J43" s="140"/>
      <c r="K43" s="112"/>
      <c r="L43" s="156"/>
      <c r="M43" s="119"/>
      <c r="N43" s="112"/>
      <c r="O43" s="23" t="str">
        <f t="shared" si="1"/>
        <v>Техническое обслуживание охранной сигнализации ИТП.</v>
      </c>
      <c r="R43" s="22" t="s">
        <v>74</v>
      </c>
    </row>
    <row r="44" spans="1:18" ht="51" customHeight="1" outlineLevel="1">
      <c r="A44" s="139" t="str">
        <f>ПТО!A3</f>
        <v>Услуги промышленных альпинистов.</v>
      </c>
      <c r="B44" s="139"/>
      <c r="C44" s="139"/>
      <c r="D44" s="139"/>
      <c r="E44" s="139"/>
      <c r="F44" s="144">
        <f>VLOOKUP(A44,ПТО!$A$2:$D$31,4,FALSE)</f>
        <v>4000</v>
      </c>
      <c r="G44" s="144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56"/>
      <c r="M44" s="119"/>
      <c r="N44" s="112"/>
      <c r="O44" s="23" t="str">
        <f t="shared" si="1"/>
        <v>Услуги промышленных альпинистов.</v>
      </c>
      <c r="R44" s="22" t="s">
        <v>74</v>
      </c>
    </row>
    <row r="45" spans="1:18" ht="51" customHeight="1" outlineLevel="1">
      <c r="A45" s="139" t="str">
        <f>ПТО!A4</f>
        <v>Ремонт теплообменника отопления в ИТП.</v>
      </c>
      <c r="B45" s="139"/>
      <c r="C45" s="139"/>
      <c r="D45" s="139"/>
      <c r="E45" s="139"/>
      <c r="F45" s="144">
        <f>VLOOKUP(A45,ПТО!$A$2:$D$31,4,FALSE)</f>
        <v>26129</v>
      </c>
      <c r="G45" s="144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56"/>
      <c r="M45" s="119"/>
      <c r="N45" s="112"/>
      <c r="O45" s="23" t="str">
        <f t="shared" si="1"/>
        <v>Ремонт теплообменника отопления в ИТП.</v>
      </c>
      <c r="R45" s="22" t="s">
        <v>74</v>
      </c>
    </row>
    <row r="46" spans="1:18" ht="51" customHeight="1" outlineLevel="1">
      <c r="A46" s="139" t="str">
        <f>ПТО!A5</f>
        <v>Аварийная замена полотенцесушителя.</v>
      </c>
      <c r="B46" s="139"/>
      <c r="C46" s="139"/>
      <c r="D46" s="139"/>
      <c r="E46" s="139"/>
      <c r="F46" s="144">
        <f>VLOOKUP(A46,ПТО!$A$2:$D$31,4,FALSE)</f>
        <v>4000</v>
      </c>
      <c r="G46" s="144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2"/>
      <c r="L46" s="156"/>
      <c r="M46" s="119"/>
      <c r="N46" s="112"/>
      <c r="O46" s="23" t="str">
        <f t="shared" si="1"/>
        <v>Аварийная замена полотенцесушителя.</v>
      </c>
      <c r="R46" s="22" t="s">
        <v>74</v>
      </c>
    </row>
    <row r="47" spans="1:18" ht="51" hidden="1" customHeight="1" outlineLevel="1">
      <c r="A47" s="139">
        <f>ПТО!A6</f>
        <v>0</v>
      </c>
      <c r="B47" s="139"/>
      <c r="C47" s="139"/>
      <c r="D47" s="139"/>
      <c r="E47" s="139"/>
      <c r="F47" s="144" t="e">
        <f>VLOOKUP(A47,ПТО!$A$2:$D$31,4,FALSE)</f>
        <v>#N/A</v>
      </c>
      <c r="G47" s="144"/>
      <c r="H47" s="25" t="e">
        <f>VLOOKUP(A47,ПТО!$A$2:$D$31,2,FALSE)</f>
        <v>#N/A</v>
      </c>
      <c r="I47" s="140" t="e">
        <f>VLOOKUP(A47,ПТО!$A$2:$D$31,3,FALSE)</f>
        <v>#N/A</v>
      </c>
      <c r="J47" s="140"/>
      <c r="K47" s="112"/>
      <c r="L47" s="156"/>
      <c r="M47" s="119"/>
      <c r="N47" s="112"/>
      <c r="O47" s="23">
        <f t="shared" si="1"/>
        <v>0</v>
      </c>
      <c r="R47" s="22" t="s">
        <v>74</v>
      </c>
    </row>
    <row r="48" spans="1:18" ht="51" hidden="1" customHeight="1" outlineLevel="1">
      <c r="A48" s="139">
        <f>ПТО!A7</f>
        <v>0</v>
      </c>
      <c r="B48" s="139"/>
      <c r="C48" s="139"/>
      <c r="D48" s="139"/>
      <c r="E48" s="139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56"/>
      <c r="M48" s="119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56"/>
      <c r="M49" s="119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56"/>
      <c r="M50" s="119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56"/>
      <c r="M51" s="119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56"/>
      <c r="M52" s="119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56"/>
      <c r="M53" s="119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56"/>
      <c r="M54" s="119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56"/>
      <c r="M55" s="119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56"/>
      <c r="M56" s="119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56"/>
      <c r="M57" s="119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56"/>
      <c r="M58" s="119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56"/>
      <c r="M59" s="119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56"/>
      <c r="M60" s="119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56"/>
      <c r="M61" s="119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56"/>
      <c r="M62" s="119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56"/>
      <c r="M63" s="119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56"/>
      <c r="M64" s="119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56"/>
      <c r="M65" s="119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56"/>
      <c r="M66" s="119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56"/>
      <c r="M67" s="119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56"/>
      <c r="M68" s="119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56"/>
      <c r="M69" s="119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56"/>
      <c r="M70" s="119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56"/>
      <c r="M72" s="119"/>
      <c r="N72" s="112"/>
      <c r="O72" s="23">
        <f t="shared" si="1"/>
        <v>0</v>
      </c>
      <c r="R72" s="22" t="s">
        <v>74</v>
      </c>
    </row>
    <row r="73" spans="1:16384">
      <c r="A73" s="107" t="s">
        <v>176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57" t="s">
        <v>25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2"/>
      <c r="L75" s="159"/>
      <c r="M75" s="112"/>
      <c r="N75" s="112"/>
      <c r="O75" s="72" t="s">
        <v>101</v>
      </c>
    </row>
    <row r="76" spans="1:16384" ht="18.75" customHeight="1" outlineLevel="1">
      <c r="A76" s="157" t="s">
        <v>26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2"/>
      <c r="L76" s="159"/>
      <c r="M76" s="112"/>
      <c r="N76" s="112"/>
      <c r="O76" s="72" t="s">
        <v>102</v>
      </c>
    </row>
    <row r="77" spans="1:16384" ht="21.75" customHeight="1" outlineLevel="1">
      <c r="A77" s="157" t="s">
        <v>27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2"/>
      <c r="L77" s="159"/>
      <c r="M77" s="112"/>
      <c r="N77" s="112"/>
      <c r="O77" s="72" t="s">
        <v>103</v>
      </c>
    </row>
    <row r="78" spans="1:16384" ht="18.75" customHeight="1" outlineLevel="1">
      <c r="A78" s="157" t="s">
        <v>28</v>
      </c>
      <c r="B78" s="157"/>
      <c r="C78" s="157"/>
      <c r="D78" s="157"/>
      <c r="E78" s="157"/>
      <c r="F78" s="157"/>
      <c r="G78" s="157"/>
      <c r="H78" s="157"/>
      <c r="I78" s="157"/>
      <c r="J78" s="99">
        <f>VLOOKUP(O78,АО,3,FALSE)</f>
        <v>0</v>
      </c>
      <c r="K78" s="112"/>
      <c r="L78" s="159"/>
      <c r="M78" s="112"/>
      <c r="N78" s="112"/>
      <c r="O78" s="72" t="s">
        <v>104</v>
      </c>
    </row>
    <row r="79" spans="1:16384">
      <c r="A79" s="118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37" t="s">
        <v>1</v>
      </c>
      <c r="B81" s="137"/>
      <c r="C81" s="137"/>
      <c r="D81" s="137"/>
      <c r="E81" s="137"/>
      <c r="F81" s="137"/>
      <c r="G81" s="137"/>
      <c r="H81" s="137"/>
      <c r="I81" s="137"/>
      <c r="J81" s="99">
        <f t="shared" ref="J81:J90" si="2">VLOOKUP(O81,АО,3,FALSE)</f>
        <v>0</v>
      </c>
      <c r="K81" s="112"/>
      <c r="L81" s="145"/>
      <c r="M81" s="112"/>
      <c r="N81" s="112"/>
      <c r="O81" s="72" t="s">
        <v>105</v>
      </c>
    </row>
    <row r="82" spans="1:15" outlineLevel="1">
      <c r="A82" s="137" t="s">
        <v>2</v>
      </c>
      <c r="B82" s="137"/>
      <c r="C82" s="137"/>
      <c r="D82" s="137"/>
      <c r="E82" s="137"/>
      <c r="F82" s="137"/>
      <c r="G82" s="137"/>
      <c r="H82" s="137"/>
      <c r="I82" s="137"/>
      <c r="J82" s="99">
        <f t="shared" si="2"/>
        <v>0</v>
      </c>
      <c r="K82" s="112"/>
      <c r="L82" s="145"/>
      <c r="M82" s="112"/>
      <c r="N82" s="112"/>
      <c r="O82" s="72" t="s">
        <v>106</v>
      </c>
    </row>
    <row r="83" spans="1:15" outlineLevel="1">
      <c r="A83" s="151" t="s">
        <v>3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26840.49</v>
      </c>
      <c r="K83" s="112"/>
      <c r="L83" s="145"/>
      <c r="M83" s="112"/>
      <c r="N83" s="112"/>
      <c r="O83" s="72" t="s">
        <v>107</v>
      </c>
    </row>
    <row r="84" spans="1:15" outlineLevel="1">
      <c r="A84" s="151" t="s">
        <v>15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45"/>
      <c r="M84" s="112"/>
      <c r="N84" s="112"/>
      <c r="O84" s="72" t="s">
        <v>108</v>
      </c>
    </row>
    <row r="85" spans="1:15" outlineLevel="1">
      <c r="A85" s="151" t="s">
        <v>16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45"/>
      <c r="M85" s="112"/>
      <c r="N85" s="112"/>
      <c r="O85" s="72" t="s">
        <v>109</v>
      </c>
    </row>
    <row r="86" spans="1:15" outlineLevel="1">
      <c r="A86" s="151" t="s">
        <v>17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25032.34</v>
      </c>
      <c r="K86" s="112"/>
      <c r="L86" s="145"/>
      <c r="M86" s="112"/>
      <c r="N86" s="112"/>
      <c r="O86" s="72" t="s">
        <v>110</v>
      </c>
    </row>
    <row r="87" spans="1:15" ht="18.75" customHeight="1" outlineLevel="1">
      <c r="A87" s="151" t="s">
        <v>25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45"/>
      <c r="M87" s="112"/>
      <c r="N87" s="112"/>
      <c r="O87" s="72" t="s">
        <v>111</v>
      </c>
    </row>
    <row r="88" spans="1:15" ht="18.75" customHeight="1" outlineLevel="1">
      <c r="A88" s="151" t="s">
        <v>26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45"/>
      <c r="M88" s="112"/>
      <c r="N88" s="112"/>
      <c r="O88" s="72" t="s">
        <v>112</v>
      </c>
    </row>
    <row r="89" spans="1:15" ht="18.75" customHeight="1" outlineLevel="1">
      <c r="A89" s="151" t="s">
        <v>27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45"/>
      <c r="M89" s="112"/>
      <c r="N89" s="112"/>
      <c r="O89" s="72" t="s">
        <v>113</v>
      </c>
    </row>
    <row r="90" spans="1:15" ht="18.75" customHeight="1" outlineLevel="1">
      <c r="A90" s="151" t="s">
        <v>28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45"/>
      <c r="M90" s="112"/>
      <c r="N90" s="112"/>
      <c r="O90" s="72" t="s">
        <v>114</v>
      </c>
    </row>
    <row r="91" spans="1:15">
      <c r="A91" s="107" t="s">
        <v>176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60" t="s">
        <v>46</v>
      </c>
      <c r="B93" s="160"/>
      <c r="C93" s="160"/>
      <c r="D93" s="161" t="s">
        <v>47</v>
      </c>
      <c r="E93" s="161"/>
      <c r="F93" s="10" t="s">
        <v>48</v>
      </c>
      <c r="G93" s="160" t="s">
        <v>49</v>
      </c>
      <c r="H93" s="160"/>
      <c r="I93" s="160"/>
      <c r="J93" s="160"/>
      <c r="K93" s="112"/>
      <c r="L93" s="112"/>
      <c r="M93" s="112"/>
      <c r="N93" s="112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14507.26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13248.64</v>
      </c>
      <c r="L95" s="146"/>
      <c r="O95" s="1" t="s">
        <v>115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14471.01</v>
      </c>
      <c r="L96" s="146"/>
      <c r="O96" s="1" t="s">
        <v>116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36.25</v>
      </c>
      <c r="L97" s="146"/>
      <c r="O97" s="1" t="s">
        <v>117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14507.26</v>
      </c>
      <c r="L98" s="146"/>
      <c r="O98" s="1" t="s">
        <v>118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14507.26</v>
      </c>
      <c r="L99" s="146"/>
      <c r="O99" s="1" t="s">
        <v>119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120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121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29747.19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2136.2399999999998</v>
      </c>
      <c r="L103" s="146"/>
      <c r="O103" s="1" t="s">
        <v>124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31417.5</v>
      </c>
      <c r="L104" s="146"/>
      <c r="O104" s="1" t="s">
        <v>125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0</v>
      </c>
      <c r="L105" s="146"/>
      <c r="O105" s="1" t="s">
        <v>126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29747.19</v>
      </c>
      <c r="L106" s="146"/>
      <c r="O106" s="1" t="s">
        <v>127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29747.19</v>
      </c>
      <c r="L107" s="146"/>
      <c r="O107" s="1" t="s">
        <v>128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129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130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49099.59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3290.86</v>
      </c>
      <c r="L111" s="146"/>
      <c r="O111" s="1" t="s">
        <v>132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50904.959999999999</v>
      </c>
      <c r="L112" s="146"/>
      <c r="O112" s="1" t="s">
        <v>133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0</v>
      </c>
      <c r="L113" s="146"/>
      <c r="O113" s="1" t="s">
        <v>134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49099.59</v>
      </c>
      <c r="L114" s="146"/>
      <c r="O114" s="1" t="s">
        <v>135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49099.59</v>
      </c>
      <c r="L115" s="146"/>
      <c r="O115" s="1" t="s">
        <v>136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137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138</v>
      </c>
    </row>
    <row r="118" spans="1:15" ht="32.25" customHeight="1" outlineLevel="1">
      <c r="A118" s="141" t="str">
        <f>IF(VLOOKUP("тко",АО,3,FALSE)&gt;0,"Обращение с ТКО",0)</f>
        <v>Обращение с ТКО</v>
      </c>
      <c r="B118" s="141"/>
      <c r="C118" s="141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3">
        <f>VLOOKUP("тко",АО,5,FALSE)</f>
        <v>28545.57</v>
      </c>
      <c r="H118" s="142"/>
      <c r="I118" s="142"/>
      <c r="J118" s="142"/>
      <c r="L118" s="49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52.83</v>
      </c>
      <c r="L119" s="49"/>
      <c r="O119" s="1" t="s">
        <v>140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26694.7</v>
      </c>
      <c r="L120" s="49"/>
      <c r="O120" s="1" t="s">
        <v>141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1850.869999999999</v>
      </c>
      <c r="L121" s="49"/>
      <c r="O121" s="1" t="s">
        <v>142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28545.57</v>
      </c>
      <c r="L122" s="49"/>
      <c r="O122" s="1" t="s">
        <v>143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28545.57</v>
      </c>
      <c r="L123" s="49"/>
      <c r="O123" s="1" t="s">
        <v>144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145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146</v>
      </c>
    </row>
    <row r="126" spans="1:15" ht="32.25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3">
        <f>VLOOKUP("гвс",АО,5,FALSE)</f>
        <v>16079.17</v>
      </c>
      <c r="H126" s="142"/>
      <c r="I126" s="142"/>
      <c r="J126" s="142"/>
      <c r="L126" s="49"/>
    </row>
    <row r="127" spans="1:15" ht="32.25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1154.7</v>
      </c>
      <c r="L127" s="49"/>
      <c r="O127" s="1" t="s">
        <v>148</v>
      </c>
    </row>
    <row r="128" spans="1:15" ht="32.25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16298.76</v>
      </c>
      <c r="L128" s="49"/>
      <c r="O128" s="1" t="s">
        <v>149</v>
      </c>
    </row>
    <row r="129" spans="1:15" ht="32.25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0</v>
      </c>
      <c r="L129" s="49"/>
      <c r="O129" s="1" t="s">
        <v>150</v>
      </c>
    </row>
    <row r="130" spans="1:15" ht="32.25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16079.17</v>
      </c>
      <c r="L130" s="49"/>
      <c r="O130" s="1" t="s">
        <v>151</v>
      </c>
    </row>
    <row r="131" spans="1:15" ht="32.25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16079.17</v>
      </c>
      <c r="L131" s="49"/>
      <c r="O131" s="1" t="s">
        <v>152</v>
      </c>
    </row>
    <row r="132" spans="1:15" ht="32.25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153</v>
      </c>
    </row>
    <row r="133" spans="1:15" ht="32.25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154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9"/>
      <c r="O135" s="1" t="s">
        <v>156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9"/>
      <c r="O136" s="1" t="s">
        <v>157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9"/>
      <c r="O137" s="1" t="s">
        <v>158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9"/>
      <c r="O138" s="1" t="s">
        <v>159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9"/>
      <c r="O139" s="1" t="s">
        <v>160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161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162</v>
      </c>
    </row>
    <row r="143" spans="1:15">
      <c r="A143" s="11" t="s">
        <v>42</v>
      </c>
    </row>
    <row r="144" spans="1:15" ht="18.75" customHeight="1" outlineLevel="1">
      <c r="A144" s="137" t="s">
        <v>43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1</v>
      </c>
      <c r="O144" t="s">
        <v>172</v>
      </c>
    </row>
    <row r="145" spans="1:15" ht="18.75" customHeight="1" outlineLevel="1">
      <c r="A145" s="137" t="s">
        <v>44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37" t="s">
        <v>175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2000</v>
      </c>
      <c r="O146" t="s">
        <v>174</v>
      </c>
    </row>
    <row r="149" spans="1:15" ht="52.5" customHeight="1">
      <c r="A149" s="162" t="s">
        <v>192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193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64" t="s">
        <v>69</v>
      </c>
      <c r="B154" s="164"/>
      <c r="C154" s="164"/>
      <c r="D154" s="164"/>
      <c r="E154" s="27">
        <f>ПТО!G1</f>
        <v>-24281.83</v>
      </c>
    </row>
    <row r="155" spans="1:15" ht="34.5" customHeight="1">
      <c r="A155" s="163" t="s">
        <v>70</v>
      </c>
      <c r="B155" s="163"/>
      <c r="C155" s="163"/>
      <c r="D155" s="163"/>
      <c r="E155" s="28">
        <f>J13</f>
        <v>46490.34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18</v>
      </c>
      <c r="B157" s="147"/>
      <c r="C157" s="147"/>
      <c r="D157" s="147"/>
      <c r="E157" s="147"/>
      <c r="F157" s="147" t="s">
        <v>19</v>
      </c>
      <c r="G157" s="147"/>
      <c r="H157" s="20" t="s">
        <v>55</v>
      </c>
      <c r="I157" s="147" t="s">
        <v>20</v>
      </c>
      <c r="J157" s="147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 ИТП.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3816</v>
      </c>
      <c r="G158" s="144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8</v>
      </c>
      <c r="J158" s="140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9" t="str">
        <f t="shared" si="14"/>
        <v>Услуги промышленных альпинистов.</v>
      </c>
      <c r="B159" s="139"/>
      <c r="C159" s="139"/>
      <c r="D159" s="139"/>
      <c r="E159" s="139"/>
      <c r="F159" s="144">
        <f t="shared" si="15"/>
        <v>4000</v>
      </c>
      <c r="G159" s="144"/>
      <c r="H159" s="24" t="str">
        <f t="shared" si="16"/>
        <v>разово</v>
      </c>
      <c r="I159" s="140">
        <f t="shared" si="17"/>
        <v>1</v>
      </c>
      <c r="J159" s="140"/>
      <c r="M159" s="22" t="s">
        <v>74</v>
      </c>
      <c r="N159" s="1" t="str">
        <v>Услуги промышленных альпинистов.</v>
      </c>
    </row>
    <row r="160" spans="1:15" ht="28.5" customHeight="1">
      <c r="A160" s="139" t="str">
        <f t="shared" si="14"/>
        <v>Ремонт теплообменника отопления в ИТП.</v>
      </c>
      <c r="B160" s="139"/>
      <c r="C160" s="139"/>
      <c r="D160" s="139"/>
      <c r="E160" s="139"/>
      <c r="F160" s="144">
        <f t="shared" si="15"/>
        <v>26129</v>
      </c>
      <c r="G160" s="144"/>
      <c r="H160" s="24" t="str">
        <f t="shared" si="16"/>
        <v>разово</v>
      </c>
      <c r="I160" s="140">
        <f t="shared" si="17"/>
        <v>1</v>
      </c>
      <c r="J160" s="140"/>
      <c r="M160" s="22" t="s">
        <v>74</v>
      </c>
      <c r="N160" s="1" t="str">
        <v>Ремонт теплообменника отопления в ИТП.</v>
      </c>
    </row>
    <row r="161" spans="1:14" ht="28.5" customHeight="1">
      <c r="A161" s="139" t="str">
        <f>IF(N161&gt;0,N161,0)</f>
        <v>Аварийная замена полотенцесушителя.</v>
      </c>
      <c r="B161" s="139"/>
      <c r="C161" s="139"/>
      <c r="D161" s="139"/>
      <c r="E161" s="139"/>
      <c r="F161" s="144">
        <f t="shared" si="15"/>
        <v>4000</v>
      </c>
      <c r="G161" s="144"/>
      <c r="H161" s="24" t="str">
        <f t="shared" si="16"/>
        <v>разово</v>
      </c>
      <c r="I161" s="140">
        <f t="shared" si="17"/>
        <v>1</v>
      </c>
      <c r="J161" s="140"/>
      <c r="M161" s="22" t="s">
        <v>74</v>
      </c>
      <c r="N161" s="1" t="str">
        <v>Аварийная замена полотенцесушителя.</v>
      </c>
    </row>
    <row r="162" spans="1:14" ht="28.5" hidden="1" customHeight="1">
      <c r="A162" s="139">
        <f t="shared" si="14"/>
        <v>0</v>
      </c>
      <c r="B162" s="139"/>
      <c r="C162" s="139"/>
      <c r="D162" s="139"/>
      <c r="E162" s="139"/>
      <c r="F162" s="144">
        <f t="shared" si="15"/>
        <v>0</v>
      </c>
      <c r="G162" s="144"/>
      <c r="H162" s="24" t="e">
        <f t="shared" si="16"/>
        <v>#N/A</v>
      </c>
      <c r="I162" s="140" t="e">
        <f>VLOOKUP(A162,$A$28:$J$72,9,FALSE)</f>
        <v>#N/A</v>
      </c>
      <c r="J162" s="140"/>
      <c r="M162" s="22" t="s">
        <v>74</v>
      </c>
      <c r="N162" s="1">
        <v>0</v>
      </c>
    </row>
    <row r="163" spans="1:14" ht="28.5" hidden="1" customHeight="1">
      <c r="A163" s="139">
        <f t="shared" si="14"/>
        <v>0</v>
      </c>
      <c r="B163" s="139"/>
      <c r="C163" s="139"/>
      <c r="D163" s="139"/>
      <c r="E163" s="139"/>
      <c r="F163" s="144">
        <f t="shared" si="15"/>
        <v>0</v>
      </c>
      <c r="G163" s="144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74</v>
      </c>
      <c r="N163" s="1">
        <v>0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74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4">
        <f t="shared" si="19"/>
        <v>0</v>
      </c>
      <c r="G165" s="144"/>
      <c r="H165" s="29" t="e">
        <f t="shared" si="16"/>
        <v>#N/A</v>
      </c>
      <c r="I165" s="140" t="e">
        <f t="shared" si="20"/>
        <v>#N/A</v>
      </c>
      <c r="J165" s="140"/>
      <c r="M165" s="22" t="s">
        <v>74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74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74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74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74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74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74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74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74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74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74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74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74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74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74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74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74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74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74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74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74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74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74</v>
      </c>
      <c r="N187" s="1">
        <v>0</v>
      </c>
    </row>
    <row r="188" spans="1:14" ht="29.25" customHeight="1">
      <c r="A188" s="107" t="s">
        <v>176</v>
      </c>
    </row>
    <row r="189" spans="1:14" ht="29.25" customHeight="1">
      <c r="A189" s="107" t="s">
        <v>176</v>
      </c>
    </row>
    <row r="190" spans="1:14" ht="36.75" customHeight="1">
      <c r="A190" s="164" t="s">
        <v>71</v>
      </c>
      <c r="B190" s="164"/>
      <c r="C190" s="164"/>
      <c r="D190" s="164"/>
      <c r="E190" s="27">
        <f>SUM(F158:G187)</f>
        <v>37945</v>
      </c>
    </row>
    <row r="191" spans="1:14" ht="51.75" customHeight="1">
      <c r="A191" s="164" t="s">
        <v>72</v>
      </c>
      <c r="B191" s="164"/>
      <c r="C191" s="164"/>
      <c r="D191" s="164"/>
      <c r="E191" s="27">
        <f>E190+E154-E155</f>
        <v>-32827.17</v>
      </c>
    </row>
    <row r="192" spans="1:14">
      <c r="A192" s="107" t="s">
        <v>176</v>
      </c>
    </row>
    <row r="193" spans="1:10" ht="62.25" customHeight="1">
      <c r="A193" s="138" t="s">
        <v>75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51">
        <f>ПТО!G12</f>
        <v>1200</v>
      </c>
      <c r="I194" s="52" t="s">
        <v>77</v>
      </c>
    </row>
    <row r="195" spans="1:10" ht="18.75" customHeight="1">
      <c r="A195" s="136" t="str">
        <f>ПТО!F13</f>
        <v xml:space="preserve">  -  ремонт подъезда (2,3,4 этажи)</v>
      </c>
      <c r="B195" s="136"/>
      <c r="C195" s="136"/>
      <c r="D195" s="136"/>
      <c r="E195" s="136"/>
      <c r="F195" s="136"/>
      <c r="G195" s="136"/>
      <c r="H195" s="51">
        <f>ПТО!G13</f>
        <v>150000</v>
      </c>
      <c r="I195" s="52" t="s">
        <v>77</v>
      </c>
    </row>
    <row r="196" spans="1:10" ht="18.75" hidden="1" customHeight="1">
      <c r="A196" s="136">
        <f>ПТО!F14</f>
        <v>0</v>
      </c>
      <c r="B196" s="136"/>
      <c r="C196" s="136"/>
      <c r="D196" s="136"/>
      <c r="E196" s="136"/>
      <c r="F196" s="136"/>
      <c r="G196" s="136"/>
      <c r="H196" s="51">
        <f>ПТО!G14</f>
        <v>0</v>
      </c>
      <c r="I196" s="52" t="s">
        <v>77</v>
      </c>
    </row>
    <row r="197" spans="1:10" ht="18.75" hidden="1" customHeight="1">
      <c r="A197" s="136">
        <f>ПТО!F15</f>
        <v>0</v>
      </c>
      <c r="B197" s="136"/>
      <c r="C197" s="136"/>
      <c r="D197" s="136"/>
      <c r="E197" s="136"/>
      <c r="F197" s="136"/>
      <c r="G197" s="136"/>
      <c r="H197" s="51">
        <f>ПТО!G15</f>
        <v>0</v>
      </c>
      <c r="I197" s="52" t="s">
        <v>77</v>
      </c>
    </row>
    <row r="198" spans="1:10" ht="18.75" hidden="1" customHeight="1">
      <c r="A198" s="136">
        <f>ПТО!F16</f>
        <v>0</v>
      </c>
      <c r="B198" s="136"/>
      <c r="C198" s="136"/>
      <c r="D198" s="136"/>
      <c r="E198" s="136"/>
      <c r="F198" s="136"/>
      <c r="G198" s="136"/>
      <c r="H198" s="51">
        <f>ПТО!G16</f>
        <v>0</v>
      </c>
      <c r="I198" s="54" t="s">
        <v>77</v>
      </c>
    </row>
    <row r="199" spans="1:10" ht="18.75" hidden="1" customHeight="1">
      <c r="A199" s="136">
        <f>ПТО!F17</f>
        <v>0</v>
      </c>
      <c r="B199" s="136"/>
      <c r="C199" s="136"/>
      <c r="D199" s="136"/>
      <c r="E199" s="136"/>
      <c r="F199" s="136"/>
      <c r="G199" s="136"/>
      <c r="H199" s="51">
        <f>ПТО!G17</f>
        <v>0</v>
      </c>
      <c r="I199" s="52" t="s">
        <v>77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51">
        <f>ПТО!G18</f>
        <v>0</v>
      </c>
      <c r="I200" s="52" t="s">
        <v>77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51">
        <f>ПТО!G19</f>
        <v>0</v>
      </c>
      <c r="I201" s="52" t="s">
        <v>77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51">
        <f>ПТО!G20</f>
        <v>0</v>
      </c>
      <c r="I202" s="52" t="s">
        <v>77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51">
        <f>ПТО!G21</f>
        <v>0</v>
      </c>
      <c r="I203" s="52" t="s">
        <v>77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51">
        <f>ПТО!G22</f>
        <v>0</v>
      </c>
      <c r="I204" s="52" t="s">
        <v>77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51">
        <f>ПТО!G23</f>
        <v>0</v>
      </c>
      <c r="I205" s="52" t="s">
        <v>77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51">
        <f>ПТО!G24</f>
        <v>0</v>
      </c>
      <c r="I206" s="52" t="s">
        <v>77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51">
        <f>ПТО!G25</f>
        <v>0</v>
      </c>
      <c r="I207" s="52" t="s">
        <v>77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51">
        <f>ПТО!G26</f>
        <v>0</v>
      </c>
      <c r="I208" s="52" t="s">
        <v>77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51">
        <f>ПТО!G27</f>
        <v>0</v>
      </c>
      <c r="I209" s="52" t="s">
        <v>77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51">
        <f>ПТО!G28</f>
        <v>0</v>
      </c>
      <c r="I210" s="52" t="s">
        <v>77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51">
        <f>ПТО!G29</f>
        <v>0</v>
      </c>
      <c r="I211" s="52" t="s">
        <v>77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51">
        <f>ПТО!G30</f>
        <v>0</v>
      </c>
      <c r="I212" s="52" t="s">
        <v>77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51">
        <f>ПТО!G31</f>
        <v>0</v>
      </c>
      <c r="I213" s="52" t="s">
        <v>77</v>
      </c>
    </row>
    <row r="214" spans="1:9">
      <c r="A214" s="55" t="s">
        <v>78</v>
      </c>
      <c r="B214" s="56"/>
      <c r="C214" s="56"/>
      <c r="D214" s="56"/>
      <c r="E214" s="56"/>
      <c r="F214" s="56"/>
      <c r="G214" s="56"/>
      <c r="H214" s="57">
        <f>SUM(H194:H213)</f>
        <v>151200</v>
      </c>
      <c r="I214" s="58" t="s">
        <v>79</v>
      </c>
    </row>
  </sheetData>
  <sheetProtection algorithmName="SHA-512" hashValue="a9OmUb5QWTaRgYTyVXuYsbsRpCX2RIRyqTgFwR7iokcmguIHhnE2NZt6Yqj/rUvCuWTdcpEQGAnnKUZBAdomng==" saltValue="yDvw2r0IkM3QoJDhX4wGk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39" sqref="F3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-24281.83</f>
        <v>-24281.83</v>
      </c>
    </row>
    <row r="2" spans="1:12" ht="18.75" customHeight="1">
      <c r="A2" s="129" t="s">
        <v>189</v>
      </c>
      <c r="B2" s="127" t="s">
        <v>181</v>
      </c>
      <c r="C2" s="127">
        <v>8</v>
      </c>
      <c r="D2" s="121">
        <f>1800*8*0.265</f>
        <v>3816</v>
      </c>
      <c r="E2" t="s">
        <v>187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179</v>
      </c>
      <c r="B3" s="125" t="s">
        <v>182</v>
      </c>
      <c r="C3" s="126">
        <v>1</v>
      </c>
      <c r="D3" s="122">
        <v>4000</v>
      </c>
      <c r="E3" s="124" t="s">
        <v>183</v>
      </c>
      <c r="F3" s="30"/>
      <c r="G3" s="30"/>
      <c r="L3" s="33" t="str">
        <f t="shared" si="0"/>
        <v>ТР</v>
      </c>
    </row>
    <row r="4" spans="1:12" ht="18.75" customHeight="1">
      <c r="A4" s="129" t="s">
        <v>180</v>
      </c>
      <c r="B4" s="127" t="s">
        <v>182</v>
      </c>
      <c r="C4" s="127">
        <v>1</v>
      </c>
      <c r="D4" s="121">
        <v>26129</v>
      </c>
      <c r="E4" s="123" t="s">
        <v>184</v>
      </c>
      <c r="F4" s="30"/>
      <c r="G4" s="30"/>
      <c r="L4" s="33" t="str">
        <f t="shared" si="0"/>
        <v>ТР</v>
      </c>
    </row>
    <row r="5" spans="1:12" ht="18.75" customHeight="1">
      <c r="A5" s="46" t="s">
        <v>188</v>
      </c>
      <c r="B5" s="133" t="s">
        <v>182</v>
      </c>
      <c r="C5" s="43">
        <v>1</v>
      </c>
      <c r="D5" s="48">
        <v>4000</v>
      </c>
      <c r="E5" s="130" t="s">
        <v>191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75</v>
      </c>
      <c r="G11" s="114"/>
      <c r="L11" s="33">
        <f t="shared" si="0"/>
        <v>0</v>
      </c>
    </row>
    <row r="12" spans="1:12" ht="31.5">
      <c r="A12" s="30"/>
      <c r="F12" s="115" t="s">
        <v>76</v>
      </c>
      <c r="G12" s="116">
        <v>1200</v>
      </c>
      <c r="L12" s="33">
        <f t="shared" si="0"/>
        <v>0</v>
      </c>
    </row>
    <row r="13" spans="1:12" ht="15.75">
      <c r="A13" s="30"/>
      <c r="F13" s="134" t="s">
        <v>190</v>
      </c>
      <c r="G13" s="135">
        <v>150000</v>
      </c>
      <c r="L13" s="33">
        <f t="shared" si="0"/>
        <v>0</v>
      </c>
    </row>
    <row r="14" spans="1:12" ht="15.75">
      <c r="A14" s="30"/>
      <c r="F14" s="115"/>
      <c r="G14" s="116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19085.52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19085.52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56466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56466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194</v>
      </c>
      <c r="B41" s="38">
        <v>25974.36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25974.36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13551.84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13551.84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5646.6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5646.6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28684.68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28684.68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50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cpFYD7nYsjolUkPGX92xKMWEE2pUUD8rsyuBVj2DMjdX3NTSyLGdvfUlV8ohvq/l8YdP/zkjpGfsLic89xEeVw==" saltValue="yyRgR+lxUB5+Oa7V+w5J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F39" sqref="F3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185</v>
      </c>
      <c r="F1" s="62">
        <v>941.1</v>
      </c>
    </row>
    <row r="2" spans="1:10" ht="15.75" customHeight="1">
      <c r="A2" s="72" t="s">
        <v>84</v>
      </c>
      <c r="B2" s="74" t="s">
        <v>1</v>
      </c>
      <c r="C2" s="85">
        <v>0</v>
      </c>
      <c r="D2" s="83" t="s">
        <v>56</v>
      </c>
      <c r="E2" s="131">
        <v>5.45</v>
      </c>
      <c r="F2" s="132" t="s">
        <v>186</v>
      </c>
      <c r="G2" s="63"/>
      <c r="H2" s="63"/>
      <c r="I2" s="63"/>
      <c r="J2" s="63"/>
    </row>
    <row r="3" spans="1:10" ht="15.75" customHeight="1">
      <c r="A3" s="72" t="s">
        <v>85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86</v>
      </c>
      <c r="B4" s="74" t="s">
        <v>3</v>
      </c>
      <c r="C4" s="85">
        <v>55235.37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87</v>
      </c>
      <c r="B5" s="74" t="s">
        <v>4</v>
      </c>
      <c r="C5" s="81">
        <f>SUM(C6:C8)</f>
        <v>199567.15000000002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88</v>
      </c>
      <c r="B6" s="74" t="s">
        <v>5</v>
      </c>
      <c r="C6" s="85">
        <v>134251.39000000001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89</v>
      </c>
      <c r="B7" s="74" t="s">
        <v>6</v>
      </c>
      <c r="C7" s="85">
        <f>(F1*3.45*8)+(F1*5.45*4)</f>
        <v>46490.34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90</v>
      </c>
      <c r="B8" s="74" t="s">
        <v>7</v>
      </c>
      <c r="C8" s="85">
        <v>18825.419999999998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91</v>
      </c>
      <c r="B9" s="74" t="s">
        <v>8</v>
      </c>
      <c r="C9" s="81">
        <f>SUM(C10:C14)</f>
        <v>224831.71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92</v>
      </c>
      <c r="B10" s="74" t="s">
        <v>9</v>
      </c>
      <c r="C10" s="85">
        <v>224831.71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93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94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95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96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97</v>
      </c>
      <c r="B15" s="74" t="s">
        <v>14</v>
      </c>
      <c r="C15" s="81">
        <f>C9</f>
        <v>224831.71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98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99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100</v>
      </c>
      <c r="B18" s="74" t="s">
        <v>17</v>
      </c>
      <c r="C18" s="81">
        <f>IF(C16&gt;0,0,IF(C4&gt;0,C4+C5-C9,C5-C2-C9))</f>
        <v>29970.810000000027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163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101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102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103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104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164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105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106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107</v>
      </c>
      <c r="B27" s="77" t="s">
        <v>3</v>
      </c>
      <c r="C27" s="88">
        <v>26840.49</v>
      </c>
      <c r="D27" s="83" t="s">
        <v>58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108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109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110</v>
      </c>
      <c r="B30" s="77" t="s">
        <v>17</v>
      </c>
      <c r="C30" s="88">
        <v>25032.34</v>
      </c>
      <c r="D30" s="83" t="s">
        <v>64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111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112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113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114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165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166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122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14507.26</v>
      </c>
      <c r="F37" s="96" t="s">
        <v>169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115</v>
      </c>
      <c r="B38" s="80" t="s">
        <v>35</v>
      </c>
      <c r="C38" s="92">
        <v>13248.64</v>
      </c>
      <c r="D38" s="96" t="s">
        <v>167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116</v>
      </c>
      <c r="B39" s="80" t="s">
        <v>36</v>
      </c>
      <c r="C39" s="93">
        <v>14471.01</v>
      </c>
      <c r="D39" s="96" t="s">
        <v>168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117</v>
      </c>
      <c r="B40" s="80" t="s">
        <v>37</v>
      </c>
      <c r="C40" s="95">
        <f>IF(E37-C39&lt;0,0,E37-C39)</f>
        <v>36.25</v>
      </c>
      <c r="D40" s="82" t="s">
        <v>57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118</v>
      </c>
      <c r="B41" s="80" t="s">
        <v>38</v>
      </c>
      <c r="C41" s="95">
        <f>E37</f>
        <v>14507.26</v>
      </c>
      <c r="D41" s="82" t="s">
        <v>57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119</v>
      </c>
      <c r="B42" s="80" t="s">
        <v>39</v>
      </c>
      <c r="C42" s="95">
        <f>E37</f>
        <v>14507.26</v>
      </c>
      <c r="D42" s="82" t="s">
        <v>57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120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121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123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29747.19</v>
      </c>
      <c r="F45" s="96" t="s">
        <v>169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124</v>
      </c>
      <c r="B46" s="80" t="s">
        <v>35</v>
      </c>
      <c r="C46" s="92">
        <v>2136.2399999999998</v>
      </c>
      <c r="D46" s="96" t="s">
        <v>170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125</v>
      </c>
      <c r="B47" s="80" t="s">
        <v>36</v>
      </c>
      <c r="C47" s="93">
        <v>31417.5</v>
      </c>
      <c r="D47" s="96" t="s">
        <v>168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126</v>
      </c>
      <c r="B48" s="80" t="s">
        <v>37</v>
      </c>
      <c r="C48" s="95">
        <f>IF(E45-C47&lt;0,0,E45-C47)</f>
        <v>0</v>
      </c>
      <c r="D48" s="82" t="s">
        <v>57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127</v>
      </c>
      <c r="B49" s="80" t="s">
        <v>38</v>
      </c>
      <c r="C49" s="95">
        <f>E45</f>
        <v>29747.19</v>
      </c>
      <c r="D49" s="82" t="s">
        <v>57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128</v>
      </c>
      <c r="B50" s="80" t="s">
        <v>39</v>
      </c>
      <c r="C50" s="95">
        <f>E45</f>
        <v>29747.19</v>
      </c>
      <c r="D50" s="82" t="s">
        <v>57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129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130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131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49099.59</v>
      </c>
      <c r="F53" s="96" t="s">
        <v>169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132</v>
      </c>
      <c r="B54" s="77" t="s">
        <v>35</v>
      </c>
      <c r="C54" s="101">
        <v>3290.86</v>
      </c>
      <c r="D54" s="96" t="s">
        <v>170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133</v>
      </c>
      <c r="B55" s="77" t="s">
        <v>36</v>
      </c>
      <c r="C55" s="88">
        <v>50904.959999999999</v>
      </c>
      <c r="D55" s="96" t="s">
        <v>168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134</v>
      </c>
      <c r="B56" s="77" t="s">
        <v>37</v>
      </c>
      <c r="C56" s="95">
        <f>IF(E53-C55&lt;0,0,E53-C55)</f>
        <v>0</v>
      </c>
      <c r="D56" s="82" t="s">
        <v>57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135</v>
      </c>
      <c r="B57" s="77" t="s">
        <v>38</v>
      </c>
      <c r="C57" s="95">
        <f>E53</f>
        <v>49099.59</v>
      </c>
      <c r="D57" s="82" t="s">
        <v>57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136</v>
      </c>
      <c r="B58" s="77" t="s">
        <v>39</v>
      </c>
      <c r="C58" s="95">
        <f>E53</f>
        <v>49099.59</v>
      </c>
      <c r="D58" s="82" t="s">
        <v>57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137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138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139</v>
      </c>
      <c r="B61" s="79" t="s">
        <v>80</v>
      </c>
      <c r="C61" s="98" t="str">
        <f>IF(E61&gt;0,"Предоставляется",0)</f>
        <v>Предоставляется</v>
      </c>
      <c r="D61" s="98" t="s">
        <v>53</v>
      </c>
      <c r="E61" s="97">
        <v>28545.57</v>
      </c>
      <c r="F61" s="96" t="s">
        <v>169</v>
      </c>
      <c r="G61" s="68"/>
      <c r="H61" s="68"/>
    </row>
    <row r="62" spans="1:15" ht="15.75" customHeight="1">
      <c r="A62" s="75" t="s">
        <v>140</v>
      </c>
      <c r="B62" s="77" t="s">
        <v>35</v>
      </c>
      <c r="C62" s="101">
        <v>52.83</v>
      </c>
      <c r="D62" s="96" t="s">
        <v>170</v>
      </c>
      <c r="E62" s="71"/>
      <c r="G62" s="66"/>
      <c r="H62" s="66"/>
    </row>
    <row r="63" spans="1:15" ht="15.75" customHeight="1">
      <c r="A63" s="75" t="s">
        <v>141</v>
      </c>
      <c r="B63" s="77" t="s">
        <v>36</v>
      </c>
      <c r="C63" s="88">
        <v>26694.7</v>
      </c>
      <c r="D63" s="96" t="s">
        <v>168</v>
      </c>
      <c r="E63" s="71"/>
      <c r="G63" s="66"/>
      <c r="H63" s="66"/>
    </row>
    <row r="64" spans="1:15" ht="15.75" customHeight="1">
      <c r="A64" s="75" t="s">
        <v>142</v>
      </c>
      <c r="B64" s="77" t="s">
        <v>37</v>
      </c>
      <c r="C64" s="95">
        <f>IF(E61-C63&lt;0,0,E61-C63)</f>
        <v>1850.869999999999</v>
      </c>
      <c r="D64" s="82" t="s">
        <v>57</v>
      </c>
      <c r="E64" s="71"/>
      <c r="G64" s="66"/>
      <c r="H64" s="66"/>
    </row>
    <row r="65" spans="1:8" ht="15.75" customHeight="1">
      <c r="A65" s="75" t="s">
        <v>143</v>
      </c>
      <c r="B65" s="77" t="s">
        <v>38</v>
      </c>
      <c r="C65" s="95">
        <f>E61</f>
        <v>28545.57</v>
      </c>
      <c r="D65" s="82" t="s">
        <v>57</v>
      </c>
      <c r="E65" s="71"/>
      <c r="G65" s="66"/>
      <c r="H65" s="66"/>
    </row>
    <row r="66" spans="1:8" ht="15.75" customHeight="1">
      <c r="A66" s="75" t="s">
        <v>144</v>
      </c>
      <c r="B66" s="77" t="s">
        <v>39</v>
      </c>
      <c r="C66" s="95">
        <f>E61</f>
        <v>28545.57</v>
      </c>
      <c r="D66" s="82" t="s">
        <v>57</v>
      </c>
      <c r="E66" s="71"/>
      <c r="G66" s="66"/>
      <c r="H66" s="66"/>
    </row>
    <row r="67" spans="1:8" ht="15.75" customHeight="1">
      <c r="A67" s="75" t="s">
        <v>145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146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147</v>
      </c>
      <c r="B69" s="79" t="s">
        <v>81</v>
      </c>
      <c r="C69" s="98" t="str">
        <f>IF(E69&gt;0,"Предоставляется",0)</f>
        <v>Предоставляется</v>
      </c>
      <c r="D69" s="98" t="s">
        <v>53</v>
      </c>
      <c r="E69" s="97">
        <v>16079.17</v>
      </c>
      <c r="F69" s="96" t="s">
        <v>169</v>
      </c>
      <c r="G69" s="68"/>
      <c r="H69" s="68"/>
    </row>
    <row r="70" spans="1:8" ht="15.75" customHeight="1">
      <c r="A70" s="75" t="s">
        <v>148</v>
      </c>
      <c r="B70" s="77" t="s">
        <v>35</v>
      </c>
      <c r="C70" s="101">
        <v>1154.7</v>
      </c>
      <c r="D70" s="96" t="s">
        <v>170</v>
      </c>
      <c r="E70" s="71"/>
      <c r="G70" s="66"/>
      <c r="H70" s="66"/>
    </row>
    <row r="71" spans="1:8" ht="15.75" customHeight="1">
      <c r="A71" s="75" t="s">
        <v>149</v>
      </c>
      <c r="B71" s="77" t="s">
        <v>36</v>
      </c>
      <c r="C71" s="88">
        <v>16298.76</v>
      </c>
      <c r="D71" s="96" t="s">
        <v>168</v>
      </c>
      <c r="E71" s="71"/>
      <c r="G71" s="66"/>
      <c r="H71" s="66"/>
    </row>
    <row r="72" spans="1:8" ht="15.75" customHeight="1">
      <c r="A72" s="75" t="s">
        <v>150</v>
      </c>
      <c r="B72" s="77" t="s">
        <v>37</v>
      </c>
      <c r="C72" s="95">
        <f>IF(E69-C71&lt;0,0,E69-C71)</f>
        <v>0</v>
      </c>
      <c r="D72" s="82" t="s">
        <v>57</v>
      </c>
      <c r="E72" s="71"/>
      <c r="G72" s="66"/>
      <c r="H72" s="66"/>
    </row>
    <row r="73" spans="1:8" ht="15.75" customHeight="1">
      <c r="A73" s="75" t="s">
        <v>151</v>
      </c>
      <c r="B73" s="77" t="s">
        <v>38</v>
      </c>
      <c r="C73" s="95">
        <f>E69</f>
        <v>16079.17</v>
      </c>
      <c r="D73" s="82" t="s">
        <v>57</v>
      </c>
      <c r="E73" s="71"/>
      <c r="G73" s="66"/>
      <c r="H73" s="66"/>
    </row>
    <row r="74" spans="1:8" ht="15.75" customHeight="1">
      <c r="A74" s="75" t="s">
        <v>152</v>
      </c>
      <c r="B74" s="77" t="s">
        <v>39</v>
      </c>
      <c r="C74" s="95">
        <f>E69</f>
        <v>16079.17</v>
      </c>
      <c r="D74" s="82" t="s">
        <v>57</v>
      </c>
      <c r="E74" s="71"/>
      <c r="G74" s="66"/>
      <c r="H74" s="66"/>
    </row>
    <row r="75" spans="1:8" ht="15.75" customHeight="1">
      <c r="A75" s="75" t="s">
        <v>153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154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155</v>
      </c>
      <c r="B77" s="79" t="s">
        <v>82</v>
      </c>
      <c r="C77" s="98">
        <f>IF(E77&gt;0,"Предоставляется",0)</f>
        <v>0</v>
      </c>
      <c r="D77" s="98" t="s">
        <v>83</v>
      </c>
      <c r="E77" s="97">
        <v>0</v>
      </c>
      <c r="F77" s="96" t="s">
        <v>169</v>
      </c>
      <c r="G77" s="68"/>
      <c r="H77" s="68"/>
    </row>
    <row r="78" spans="1:8" ht="15.75" customHeight="1">
      <c r="A78" s="75" t="s">
        <v>156</v>
      </c>
      <c r="B78" s="77" t="s">
        <v>35</v>
      </c>
      <c r="C78" s="101">
        <v>0</v>
      </c>
      <c r="D78" s="96" t="s">
        <v>171</v>
      </c>
      <c r="E78" s="66"/>
      <c r="G78" s="66"/>
      <c r="H78" s="66"/>
    </row>
    <row r="79" spans="1:8" ht="15.75" customHeight="1">
      <c r="A79" s="75" t="s">
        <v>157</v>
      </c>
      <c r="B79" s="77" t="s">
        <v>36</v>
      </c>
      <c r="C79" s="88">
        <v>0</v>
      </c>
      <c r="D79" s="96" t="s">
        <v>168</v>
      </c>
      <c r="E79" s="66"/>
      <c r="G79" s="66"/>
      <c r="H79" s="66"/>
    </row>
    <row r="80" spans="1:8" ht="15.75" customHeight="1">
      <c r="A80" s="75" t="s">
        <v>158</v>
      </c>
      <c r="B80" s="77" t="s">
        <v>37</v>
      </c>
      <c r="C80" s="95">
        <f>IF(E77-C79&lt;0,0,E77-C79)</f>
        <v>0</v>
      </c>
      <c r="D80" s="82" t="s">
        <v>57</v>
      </c>
      <c r="E80" s="66"/>
      <c r="G80" s="66"/>
      <c r="H80" s="66"/>
    </row>
    <row r="81" spans="1:8" ht="15.75" customHeight="1">
      <c r="A81" s="75" t="s">
        <v>159</v>
      </c>
      <c r="B81" s="77" t="s">
        <v>38</v>
      </c>
      <c r="C81" s="95">
        <f>E77</f>
        <v>0</v>
      </c>
      <c r="D81" s="82" t="s">
        <v>57</v>
      </c>
      <c r="E81" s="66"/>
      <c r="G81" s="66"/>
      <c r="H81" s="66"/>
    </row>
    <row r="82" spans="1:8" ht="15.75" customHeight="1">
      <c r="A82" s="75" t="s">
        <v>160</v>
      </c>
      <c r="B82" s="77" t="s">
        <v>39</v>
      </c>
      <c r="C82" s="95">
        <f>E77</f>
        <v>0</v>
      </c>
      <c r="D82" s="82" t="s">
        <v>57</v>
      </c>
      <c r="E82" s="66"/>
      <c r="G82" s="66"/>
      <c r="H82" s="66"/>
    </row>
    <row r="83" spans="1:8" ht="15.75" customHeight="1">
      <c r="A83" s="75" t="s">
        <v>161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162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39" sqref="F3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172</v>
      </c>
      <c r="B2" s="61" t="s">
        <v>43</v>
      </c>
      <c r="C2" s="108">
        <v>1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173</v>
      </c>
      <c r="B3" s="61" t="s">
        <v>44</v>
      </c>
      <c r="C3" s="108">
        <v>0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174</v>
      </c>
      <c r="B4" s="61" t="s">
        <v>45</v>
      </c>
      <c r="C4" s="109">
        <v>2000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2020-03-20T01:51:09Z</dcterms:modified>
</cp:coreProperties>
</file>