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7" i="1"/>
  <c r="A116" i="1"/>
  <c r="A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12" i="1" l="1"/>
  <c r="A110" i="1"/>
  <c r="A113" i="1"/>
  <c r="D110" i="1"/>
  <c r="A114" i="1"/>
  <c r="F110" i="1"/>
  <c r="A122" i="1"/>
  <c r="A118" i="1"/>
  <c r="A123" i="1"/>
  <c r="F134" i="1"/>
  <c r="A94" i="1"/>
  <c r="A95" i="1"/>
  <c r="A99" i="1"/>
  <c r="D118" i="1"/>
  <c r="A120" i="1"/>
  <c r="A124" i="1"/>
  <c r="A141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<sst xmlns="http://schemas.openxmlformats.org/spreadsheetml/2006/main" count="545" uniqueCount="197">
  <si>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</si>
  <si>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</si>
  <si>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</si>
  <si>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</si>
  <si>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</si>
  <si>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</si>
  <si>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</si>
  <si>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</si>
  <si>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</si>
  <si>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</si>
  <si>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</si>
  <si>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</si>
  <si>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</si>
  <si>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</si>
  <si>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</si>
  <si>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</si>
  <si>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</si>
  <si>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</si>
  <si>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</si>
  <si>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</si>
  <si>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</si>
  <si>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</si>
  <si>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</si>
  <si>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</si>
  <si>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</si>
  <si>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</si>
  <si>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</si>
  <si>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</si>
  <si>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</si>
  <si>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</si>
  <si>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</si>
  <si>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</si>
  <si>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</si>
  <si>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</si>
  <si>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</si>
  <si>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</si>
  <si>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</si>
  <si>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</si>
  <si>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</si>
  <si>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</si>
  <si>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</si>
  <si>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</si>
  <si>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</si>
  <si>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</si>
  <si>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</si>
  <si>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</si>
  <si>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</si>
  <si>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</si>
  <si>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</si>
  <si>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</si>
  <si>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</si>
  <si>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</si>
  <si>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</si>
  <si>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</si>
  <si>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</si>
  <si>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</si>
  <si>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</si>
  <si>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</si>
  <si>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</si>
  <si>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</si>
  <si>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</si>
  <si>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</si>
  <si>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</si>
  <si>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</si>
  <si>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</si>
  <si>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</si>
  <si>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</si>
  <si>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</si>
  <si>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</si>
  <si>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</si>
  <si>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</si>
  <si>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</si>
  <si>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</si>
  <si>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</si>
  <si>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</si>
  <si>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</si>
  <si>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</si>
  <si>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</si>
  <si>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</si>
  <si>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</si>
  <si>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</si>
  <si>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</si>
  <si>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</si>
  <si>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</si>
  <si>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</si>
  <si>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</si>
  <si>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</si>
  <si>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</si>
  <si>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</si>
  <si>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</si>
  <si>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</si>
  <si>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</si>
  <si>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</si>
  <si>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</si>
  <si>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</si>
  <si>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</si>
  <si>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</si>
  <si>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</si>
  <si>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</si>
  <si>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</si>
  <si>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</si>
  <si>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</si>
  <si>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</si>
  <si>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</si>
  <si>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</si>
  <si>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</si>
  <si>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</si>
  <si>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</si>
  <si>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</si>
  <si>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</si>
  <si>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</si>
  <si>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</si>
  <si>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</si>
  <si>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</si>
  <si>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</si>
  <si>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</si>
  <si>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</si>
  <si>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</si>
  <si>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</si>
  <si>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</si>
  <si>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</si>
  <si>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</si>
  <si>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</si>
  <si>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</si>
  <si>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</si>
  <si>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</si>
  <si>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</si>
  <si>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</si>
  <si>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</si>
  <si>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</si>
  <si>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</si>
  <si>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</si>
  <si>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</si>
  <si>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</si>
  <si>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</si>
  <si>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</si>
  <si>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</si>
  <si>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</si>
  <si>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</si>
  <si>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</si>
  <si>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</si>
  <si>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</si>
  <si>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</si>
  <si>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</si>
  <si>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</si>
  <si>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</si>
  <si>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</si>
  <si>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</si>
  <si>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</si>
  <si>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</si>
  <si>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</si>
  <si>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</si>
  <si>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</si>
  <si>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</si>
  <si>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</si>
  <si>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</si>
  <si>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</si>
  <si>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</si>
  <si>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</si>
  <si>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</si>
  <si>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</si>
  <si>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</si>
  <si>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</si>
  <si>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</si>
  <si>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</si>
  <si>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</si>
  <si>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</si>
  <si>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</si>
  <si>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</si>
  <si>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</si>
  <si>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</si>
  <si>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</si>
  <si>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</si>
  <si>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</si>
  <si>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</si>
  <si>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</si>
  <si>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</si>
  <si>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</si>
  <si>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108</t>
  </si>
  <si>
    <t>Услуги промышленных альпинистов.</t>
  </si>
  <si>
    <t>Ремонт домофонной системы.</t>
  </si>
  <si>
    <t>ежемесячно</t>
  </si>
  <si>
    <t>разово</t>
  </si>
  <si>
    <t>АВР от 26.02.2019</t>
  </si>
  <si>
    <t>Аварийный ремонт теплообменника отопления в ИТП.</t>
  </si>
  <si>
    <t>АВР от 14.09.2019</t>
  </si>
  <si>
    <t>площадь дома</t>
  </si>
  <si>
    <t>АВР от 20.09.2019</t>
  </si>
  <si>
    <t>АВР от 07.08.2019, Счет №9475НГР от 07.08.2019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</si>
  <si>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</si>
  <si>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</si>
  <si>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Приобретение и установка датчика движение, сжим 733.</t>
  </si>
  <si>
    <t xml:space="preserve">  -  ремонт теплообменника ГВС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</si>
  <si>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</si>
  <si>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108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</si>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</sst>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0" fontId="20" fillId="0" borderId="0"/>
  </cellStyleXfs>
  <cellXfs count="167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4" fillId="0" borderId="0" xfId="5" applyNumberFormat="1" applyBorder="1" applyAlignment="1"/>
    <xf numFmtId="0" fontId="4" fillId="0" borderId="0" xfId="5" applyFill="1" applyBorder="1" applyAlignment="1">
      <alignment horizontal="center" vertical="center"/>
    </xf>
    <xf numFmtId="0" fontId="19" fillId="0" borderId="0" xfId="5" applyFont="1" applyFill="1" applyBorder="1" applyAlignment="1"/>
    <xf numFmtId="4" fontId="4" fillId="0" borderId="0" xfId="5" applyNumberFormat="1" applyFill="1" applyBorder="1" applyAlignment="1"/>
    <xf numFmtId="0" fontId="19" fillId="0" borderId="0" xfId="5" applyFont="1" applyFill="1" applyBorder="1" applyAlignment="1">
      <alignment horizontal="center"/>
    </xf>
    <xf numFmtId="0" fontId="4" fillId="0" borderId="0" xfId="5" applyFill="1" applyBorder="1" applyAlignment="1">
      <alignment horizontal="center"/>
    </xf>
    <xf numFmtId="0" fontId="4" fillId="0" borderId="0" xfId="5" applyFill="1" applyBorder="1"/>
    <xf numFmtId="0" fontId="4" fillId="0" borderId="0" xfId="5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/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 horizontal="right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27" sqref="A27:E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7" t="s">
        <v>178</v>
      </c>
      <c r="B2" s="157"/>
      <c r="C2" s="157"/>
      <c r="D2" s="157"/>
      <c r="E2" s="157"/>
      <c r="F2" s="157"/>
      <c r="G2" s="157"/>
      <c r="H2" s="157"/>
      <c r="I2" s="157"/>
      <c r="J2" s="157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195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54" t="s">
        <v>1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2"/>
      <c r="L8" s="158"/>
      <c r="M8" s="112"/>
      <c r="N8" s="112"/>
      <c r="O8" s="72" t="s">
        <v>84</v>
      </c>
      <c r="R8" s="16"/>
    </row>
    <row r="9" spans="1:18" ht="18.75" customHeight="1" outlineLevel="1">
      <c r="A9" s="154" t="s">
        <v>2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2"/>
      <c r="L9" s="158"/>
      <c r="M9" s="112"/>
      <c r="N9" s="112"/>
      <c r="O9" s="72" t="s">
        <v>85</v>
      </c>
    </row>
    <row r="10" spans="1:18" ht="18.75" customHeight="1" outlineLevel="1">
      <c r="A10" s="154" t="s">
        <v>3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121613.27</v>
      </c>
      <c r="K10" s="112"/>
      <c r="L10" s="158"/>
      <c r="M10" s="112"/>
      <c r="N10" s="112"/>
      <c r="O10" s="72" t="s">
        <v>86</v>
      </c>
    </row>
    <row r="11" spans="1:18" outlineLevel="1">
      <c r="A11" s="154" t="s">
        <v>4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234992.32799999998</v>
      </c>
      <c r="K11" s="112"/>
      <c r="L11" s="158"/>
      <c r="M11" s="112"/>
      <c r="N11" s="112"/>
      <c r="O11" s="72" t="s">
        <v>87</v>
      </c>
    </row>
    <row r="12" spans="1:18" ht="18.75" customHeight="1" outlineLevel="1">
      <c r="A12" s="154" t="s">
        <v>5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160853.57999999999</v>
      </c>
      <c r="K12" s="112"/>
      <c r="L12" s="158"/>
      <c r="M12" s="112"/>
      <c r="N12" s="112"/>
      <c r="O12" s="72" t="s">
        <v>88</v>
      </c>
    </row>
    <row r="13" spans="1:18" ht="18.75" customHeight="1" outlineLevel="1">
      <c r="A13" s="154" t="s">
        <v>6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74138.747999999992</v>
      </c>
      <c r="K13" s="112"/>
      <c r="L13" s="158"/>
      <c r="M13" s="112"/>
      <c r="N13" s="112"/>
      <c r="O13" s="72" t="s">
        <v>89</v>
      </c>
    </row>
    <row r="14" spans="1:18" ht="18.75" customHeight="1" outlineLevel="1">
      <c r="A14" s="154" t="s">
        <v>7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12"/>
      <c r="L14" s="158"/>
      <c r="M14" s="112"/>
      <c r="N14" s="112"/>
      <c r="O14" s="72" t="s">
        <v>90</v>
      </c>
    </row>
    <row r="15" spans="1:18" ht="18.75" customHeight="1" outlineLevel="1">
      <c r="A15" s="154" t="s">
        <v>8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254850.19</v>
      </c>
      <c r="K15" s="112"/>
      <c r="L15" s="158"/>
      <c r="M15" s="112"/>
      <c r="N15" s="112"/>
      <c r="O15" s="72" t="s">
        <v>91</v>
      </c>
    </row>
    <row r="16" spans="1:18" ht="18.75" customHeight="1" outlineLevel="1">
      <c r="A16" s="154" t="s">
        <v>9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254850.19</v>
      </c>
      <c r="K16" s="112"/>
      <c r="L16" s="158"/>
      <c r="M16" s="112"/>
      <c r="N16" s="112"/>
      <c r="O16" s="72" t="s">
        <v>92</v>
      </c>
    </row>
    <row r="17" spans="1:23" ht="18.75" customHeight="1" outlineLevel="1">
      <c r="A17" s="154" t="s">
        <v>10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2"/>
      <c r="L17" s="158"/>
      <c r="M17" s="112"/>
      <c r="N17" s="112"/>
      <c r="O17" s="72" t="s">
        <v>93</v>
      </c>
    </row>
    <row r="18" spans="1:23" ht="18.75" customHeight="1" outlineLevel="1">
      <c r="A18" s="154" t="s">
        <v>11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2"/>
      <c r="L18" s="158"/>
      <c r="M18" s="112"/>
      <c r="N18" s="112"/>
      <c r="O18" s="72" t="s">
        <v>94</v>
      </c>
    </row>
    <row r="19" spans="1:23" ht="18.75" customHeight="1" outlineLevel="1">
      <c r="A19" s="154" t="s">
        <v>12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2"/>
      <c r="L19" s="158"/>
      <c r="M19" s="112"/>
      <c r="N19" s="112"/>
      <c r="O19" s="72" t="s">
        <v>95</v>
      </c>
    </row>
    <row r="20" spans="1:23" ht="18.75" customHeight="1" outlineLevel="1">
      <c r="A20" s="154" t="s">
        <v>13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2"/>
      <c r="L20" s="158"/>
      <c r="M20" s="112"/>
      <c r="N20" s="112"/>
      <c r="O20" s="72" t="s">
        <v>96</v>
      </c>
    </row>
    <row r="21" spans="1:23" ht="18.75" customHeight="1" outlineLevel="1">
      <c r="A21" s="154" t="s">
        <v>14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254850.19</v>
      </c>
      <c r="K21" s="112"/>
      <c r="L21" s="158"/>
      <c r="M21" s="112"/>
      <c r="N21" s="112"/>
      <c r="O21" s="72" t="s">
        <v>97</v>
      </c>
    </row>
    <row r="22" spans="1:23" ht="18.75" customHeight="1" outlineLevel="1">
      <c r="A22" s="154" t="s">
        <v>15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2"/>
      <c r="L22" s="158"/>
      <c r="M22" s="112"/>
      <c r="N22" s="112"/>
      <c r="O22" s="72" t="s">
        <v>98</v>
      </c>
    </row>
    <row r="23" spans="1:23" ht="18.75" customHeight="1" outlineLevel="1">
      <c r="A23" s="154" t="s">
        <v>16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2"/>
      <c r="L23" s="158"/>
      <c r="M23" s="112"/>
      <c r="N23" s="112"/>
      <c r="O23" s="72" t="s">
        <v>99</v>
      </c>
    </row>
    <row r="24" spans="1:23" ht="18.75" customHeight="1" outlineLevel="1">
      <c r="A24" s="154" t="s">
        <v>17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101755.408</v>
      </c>
      <c r="K24" s="112"/>
      <c r="L24" s="158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1" t="s">
        <v>18</v>
      </c>
      <c r="B27" s="141"/>
      <c r="C27" s="141"/>
      <c r="D27" s="141"/>
      <c r="E27" s="141"/>
      <c r="F27" s="141" t="s">
        <v>19</v>
      </c>
      <c r="G27" s="141"/>
      <c r="H27" s="5" t="s">
        <v>55</v>
      </c>
      <c r="I27" s="141" t="s">
        <v>20</v>
      </c>
      <c r="J27" s="141"/>
      <c r="K27" s="112"/>
      <c r="L27" s="159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36">
        <f>VLOOKUP(A28,ПТО!$A$39:$D$53,2,FALSE)</f>
        <v>22445.64</v>
      </c>
      <c r="G28" s="136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2"/>
      <c r="L28" s="159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5"/>
      <c r="C29" s="135"/>
      <c r="D29" s="135"/>
      <c r="E29" s="135"/>
      <c r="F29" s="136">
        <f>VLOOKUP(A29,ПТО!$A$39:$D$53,2,FALSE)</f>
        <v>54277.68</v>
      </c>
      <c r="G29" s="136"/>
      <c r="H29" s="42" t="str">
        <f>VLOOKUP(A29,ПТО!$A$39:$D$53,3,FALSE)</f>
        <v>Ежемесячно</v>
      </c>
      <c r="I29" s="137">
        <f>VLOOKUP(A29,ПТО!$A$39:$D$53,4,FALSE)</f>
        <v>12</v>
      </c>
      <c r="J29" s="137"/>
      <c r="K29" s="112"/>
      <c r="L29" s="159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35" t="str">
        <f>ПТО!A41</f>
        <v xml:space="preserve">Работы по содержанию земельного участка </v>
      </c>
      <c r="B30" s="135"/>
      <c r="C30" s="135"/>
      <c r="D30" s="135"/>
      <c r="E30" s="135"/>
      <c r="F30" s="136">
        <f>VLOOKUP(A30,ПТО!$A$39:$D$53,2,FALSE)</f>
        <v>29111.4</v>
      </c>
      <c r="G30" s="136"/>
      <c r="H30" s="42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2"/>
      <c r="L30" s="159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36">
        <f>VLOOKUP(A31,ПТО!$A$39:$D$53,2,FALSE)</f>
        <v>16324.08</v>
      </c>
      <c r="G31" s="136"/>
      <c r="H31" s="42" t="str">
        <f>VLOOKUP(A31,ПТО!$A$39:$D$53,3,FALSE)</f>
        <v>Ежемесячно</v>
      </c>
      <c r="I31" s="137">
        <f>VLOOKUP(A31,ПТО!$A$39:$D$53,4,FALSE)</f>
        <v>12</v>
      </c>
      <c r="J31" s="137"/>
      <c r="K31" s="112"/>
      <c r="L31" s="159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36" t="e">
        <f>VLOOKUP(A32,ПТО!$A$39:$D$53,2,FALSE)</f>
        <v>#N/A</v>
      </c>
      <c r="G32" s="136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12"/>
      <c r="L32" s="159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36">
        <f>VLOOKUP(A33,ПТО!$A$39:$D$53,2,FALSE)</f>
        <v>6801.72</v>
      </c>
      <c r="G33" s="136"/>
      <c r="H33" s="42" t="str">
        <f>VLOOKUP(A33,ПТО!$A$39:$D$53,3,FALSE)</f>
        <v>Круглосуточно</v>
      </c>
      <c r="I33" s="137">
        <f>VLOOKUP(A33,ПТО!$A$39:$D$53,4,FALSE)</f>
        <v>12</v>
      </c>
      <c r="J33" s="137"/>
      <c r="K33" s="112"/>
      <c r="L33" s="159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36">
        <f>VLOOKUP(A34,ПТО!$A$39:$D$53,2,FALSE)</f>
        <v>28703.279999999999</v>
      </c>
      <c r="G34" s="136"/>
      <c r="H34" s="42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2"/>
      <c r="L34" s="159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5">
        <f>ПТО!A46</f>
        <v>0</v>
      </c>
      <c r="B35" s="135"/>
      <c r="C35" s="135"/>
      <c r="D35" s="135"/>
      <c r="E35" s="135"/>
      <c r="F35" s="136" t="e">
        <f>VLOOKUP(A35,ПТО!$A$39:$D$53,2,FALSE)</f>
        <v>#N/A</v>
      </c>
      <c r="G35" s="136"/>
      <c r="H35" s="42" t="e">
        <f>VLOOKUP(A35,ПТО!$A$39:$D$53,3,FALSE)</f>
        <v>#N/A</v>
      </c>
      <c r="I35" s="137" t="e">
        <f>VLOOKUP(A35,ПТО!$A$39:$D$53,4,FALSE)</f>
        <v>#N/A</v>
      </c>
      <c r="J35" s="137"/>
      <c r="K35" s="112"/>
      <c r="L35" s="159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5">
        <f>ПТО!A47</f>
        <v>0</v>
      </c>
      <c r="B36" s="135"/>
      <c r="C36" s="135"/>
      <c r="D36" s="135"/>
      <c r="E36" s="135"/>
      <c r="F36" s="136" t="e">
        <f>VLOOKUP(A36,ПТО!$A$39:$D$53,2,FALSE)</f>
        <v>#N/A</v>
      </c>
      <c r="G36" s="136"/>
      <c r="H36" s="42" t="e">
        <f>VLOOKUP(A36,ПТО!$A$39:$D$53,3,FALSE)</f>
        <v>#N/A</v>
      </c>
      <c r="I36" s="137" t="e">
        <f>VLOOKUP(A36,ПТО!$A$39:$D$53,4,FALSE)</f>
        <v>#N/A</v>
      </c>
      <c r="J36" s="137"/>
      <c r="K36" s="112"/>
      <c r="L36" s="159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36" t="e">
        <f>VLOOKUP(A37,ПТО!$A$39:$D$53,2,FALSE)</f>
        <v>#N/A</v>
      </c>
      <c r="G37" s="136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12"/>
      <c r="L37" s="159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36" t="e">
        <f>VLOOKUP(A38,ПТО!$A$39:$D$53,2,FALSE)</f>
        <v>#N/A</v>
      </c>
      <c r="G38" s="136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12"/>
      <c r="L38" s="159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36" t="e">
        <f>VLOOKUP(A39,ПТО!$A$39:$D$53,2,FALSE)</f>
        <v>#N/A</v>
      </c>
      <c r="G39" s="136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12"/>
      <c r="L39" s="159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36" t="e">
        <f>VLOOKUP(A40,ПТО!$A$39:$D$53,2,FALSE)</f>
        <v>#N/A</v>
      </c>
      <c r="G40" s="136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12"/>
      <c r="L40" s="159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36" t="e">
        <f>VLOOKUP(A41,ПТО!$A$39:$D$53,2,FALSE)</f>
        <v>#N/A</v>
      </c>
      <c r="G41" s="136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12"/>
      <c r="L41" s="159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36" t="e">
        <f>VLOOKUP(A42,ПТО!$A$39:$D$53,2,FALSE)</f>
        <v>#N/A</v>
      </c>
      <c r="G42" s="136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12"/>
      <c r="L42" s="159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5" t="str">
        <f>ПТО!A2</f>
        <v>Техническое обслуживание охранной сигнализации.</v>
      </c>
      <c r="B43" s="135"/>
      <c r="C43" s="135"/>
      <c r="D43" s="135"/>
      <c r="E43" s="135"/>
      <c r="F43" s="136">
        <f>VLOOKUP(A43,ПТО!$A$2:$D$31,4,FALSE)</f>
        <v>5790</v>
      </c>
      <c r="G43" s="136"/>
      <c r="H43" s="19" t="str">
        <f>VLOOKUP(A43,ПТО!$A$2:$D$31,2,FALSE)</f>
        <v>ежемесячно</v>
      </c>
      <c r="I43" s="137">
        <f>VLOOKUP(A43,ПТО!$A$2:$D$31,3,FALSE)</f>
        <v>12</v>
      </c>
      <c r="J43" s="137"/>
      <c r="K43" s="112"/>
      <c r="L43" s="159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5" t="str">
        <f>ПТО!A3</f>
        <v>Услуги промышленных альпинистов.</v>
      </c>
      <c r="B44" s="135"/>
      <c r="C44" s="135"/>
      <c r="D44" s="135"/>
      <c r="E44" s="135"/>
      <c r="F44" s="136">
        <f>VLOOKUP(A44,ПТО!$A$2:$D$31,4,FALSE)</f>
        <v>4000</v>
      </c>
      <c r="G44" s="136"/>
      <c r="H44" s="25" t="str">
        <f>VLOOKUP(A44,ПТО!$A$2:$D$31,2,FALSE)</f>
        <v>разово</v>
      </c>
      <c r="I44" s="137">
        <f>VLOOKUP(A44,ПТО!$A$2:$D$31,3,FALSE)</f>
        <v>1</v>
      </c>
      <c r="J44" s="137"/>
      <c r="K44" s="112"/>
      <c r="L44" s="159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35" t="str">
        <f>ПТО!A4</f>
        <v>Ремонт домофонной системы.</v>
      </c>
      <c r="B45" s="135"/>
      <c r="C45" s="135"/>
      <c r="D45" s="135"/>
      <c r="E45" s="135"/>
      <c r="F45" s="136">
        <f>VLOOKUP(A45,ПТО!$A$2:$D$31,4,FALSE)</f>
        <v>2980</v>
      </c>
      <c r="G45" s="136"/>
      <c r="H45" s="25" t="str">
        <f>VLOOKUP(A45,ПТО!$A$2:$D$31,2,FALSE)</f>
        <v>разово</v>
      </c>
      <c r="I45" s="137">
        <f>VLOOKUP(A45,ПТО!$A$2:$D$31,3,FALSE)</f>
        <v>1</v>
      </c>
      <c r="J45" s="137"/>
      <c r="K45" s="112"/>
      <c r="L45" s="159"/>
      <c r="M45" s="119"/>
      <c r="N45" s="112"/>
      <c r="O45" s="23" t="str">
        <f t="shared" si="1"/>
        <v>Ремонт домофонной системы.</v>
      </c>
      <c r="R45" s="22" t="s">
        <v>74</v>
      </c>
    </row>
    <row r="46" spans="1:18" ht="51" customHeight="1" outlineLevel="1">
      <c r="A46" s="135" t="str">
        <f>ПТО!A5</f>
        <v>Аварийный ремонт теплообменника отопления в ИТП.</v>
      </c>
      <c r="B46" s="135"/>
      <c r="C46" s="135"/>
      <c r="D46" s="135"/>
      <c r="E46" s="135"/>
      <c r="F46" s="136">
        <f>VLOOKUP(A46,ПТО!$A$2:$D$31,4,FALSE)</f>
        <v>24946.39</v>
      </c>
      <c r="G46" s="136"/>
      <c r="H46" s="25" t="str">
        <f>VLOOKUP(A46,ПТО!$A$2:$D$31,2,FALSE)</f>
        <v>разово</v>
      </c>
      <c r="I46" s="137">
        <f>VLOOKUP(A46,ПТО!$A$2:$D$31,3,FALSE)</f>
        <v>1</v>
      </c>
      <c r="J46" s="137"/>
      <c r="K46" s="112"/>
      <c r="L46" s="159"/>
      <c r="M46" s="119"/>
      <c r="N46" s="112"/>
      <c r="O46" s="23" t="str">
        <f t="shared" si="1"/>
        <v>Аварийный ремонт теплообменника отопления в ИТП.</v>
      </c>
      <c r="R46" s="22" t="s">
        <v>74</v>
      </c>
    </row>
    <row r="47" spans="1:18" ht="51" customHeight="1" outlineLevel="1">
      <c r="A47" s="135" t="str">
        <f>ПТО!A6</f>
        <v>Приобретение и установка датчика движение, сжим 733.</v>
      </c>
      <c r="B47" s="135"/>
      <c r="C47" s="135"/>
      <c r="D47" s="135"/>
      <c r="E47" s="135"/>
      <c r="F47" s="136">
        <f>VLOOKUP(A47,ПТО!$A$2:$D$31,4,FALSE)</f>
        <v>1769.17</v>
      </c>
      <c r="G47" s="136"/>
      <c r="H47" s="25" t="str">
        <f>VLOOKUP(A47,ПТО!$A$2:$D$31,2,FALSE)</f>
        <v>разово</v>
      </c>
      <c r="I47" s="137">
        <f>VLOOKUP(A47,ПТО!$A$2:$D$31,3,FALSE)</f>
        <v>1</v>
      </c>
      <c r="J47" s="137"/>
      <c r="K47" s="112"/>
      <c r="L47" s="159"/>
      <c r="M47" s="119"/>
      <c r="N47" s="112"/>
      <c r="O47" s="23" t="str">
        <f t="shared" si="1"/>
        <v>Приобретение и установка датчика движение, сжим 733.</v>
      </c>
      <c r="R47" s="22" t="s">
        <v>74</v>
      </c>
    </row>
    <row r="48" spans="1:18" ht="51" hidden="1" customHeight="1" outlineLevel="1">
      <c r="A48" s="135">
        <f>ПТО!A7</f>
        <v>0</v>
      </c>
      <c r="B48" s="135"/>
      <c r="C48" s="135"/>
      <c r="D48" s="135"/>
      <c r="E48" s="135"/>
      <c r="F48" s="136" t="e">
        <f>VLOOKUP(A48,ПТО!$A$2:$D$31,4,FALSE)</f>
        <v>#N/A</v>
      </c>
      <c r="G48" s="136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2"/>
      <c r="L48" s="159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5">
        <f>ПТО!A8</f>
        <v>0</v>
      </c>
      <c r="B49" s="135"/>
      <c r="C49" s="135"/>
      <c r="D49" s="135"/>
      <c r="E49" s="135"/>
      <c r="F49" s="136" t="e">
        <f>VLOOKUP(A49,ПТО!$A$2:$D$31,4,FALSE)</f>
        <v>#N/A</v>
      </c>
      <c r="G49" s="136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2"/>
      <c r="L49" s="159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5">
        <f>ПТО!A9</f>
        <v>0</v>
      </c>
      <c r="B50" s="135"/>
      <c r="C50" s="135"/>
      <c r="D50" s="135"/>
      <c r="E50" s="135"/>
      <c r="F50" s="136" t="e">
        <f>VLOOKUP(A50,ПТО!$A$2:$D$31,4,FALSE)</f>
        <v>#N/A</v>
      </c>
      <c r="G50" s="136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2"/>
      <c r="L50" s="159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5">
        <f>ПТО!A10</f>
        <v>0</v>
      </c>
      <c r="B51" s="135"/>
      <c r="C51" s="135"/>
      <c r="D51" s="135"/>
      <c r="E51" s="135"/>
      <c r="F51" s="136" t="e">
        <f>VLOOKUP(A51,ПТО!$A$2:$D$31,4,FALSE)</f>
        <v>#N/A</v>
      </c>
      <c r="G51" s="136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2"/>
      <c r="L51" s="159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5">
        <f>ПТО!A11</f>
        <v>0</v>
      </c>
      <c r="B52" s="135"/>
      <c r="C52" s="135"/>
      <c r="D52" s="135"/>
      <c r="E52" s="135"/>
      <c r="F52" s="136" t="e">
        <f>VLOOKUP(A52,ПТО!$A$2:$D$31,4,FALSE)</f>
        <v>#N/A</v>
      </c>
      <c r="G52" s="136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2"/>
      <c r="L52" s="159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36" t="e">
        <f>VLOOKUP(A53,ПТО!$A$2:$D$31,4,FALSE)</f>
        <v>#N/A</v>
      </c>
      <c r="G53" s="136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2"/>
      <c r="L53" s="159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36" t="e">
        <f>VLOOKUP(A54,ПТО!$A$2:$D$31,4,FALSE)</f>
        <v>#N/A</v>
      </c>
      <c r="G54" s="136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2"/>
      <c r="L54" s="159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36" t="e">
        <f>VLOOKUP(A55,ПТО!$A$2:$D$31,4,FALSE)</f>
        <v>#N/A</v>
      </c>
      <c r="G55" s="136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2"/>
      <c r="L55" s="159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36" t="e">
        <f>VLOOKUP(A56,ПТО!$A$2:$D$31,4,FALSE)</f>
        <v>#N/A</v>
      </c>
      <c r="G56" s="136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2"/>
      <c r="L56" s="159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36" t="e">
        <f>VLOOKUP(A57,ПТО!$A$2:$D$31,4,FALSE)</f>
        <v>#N/A</v>
      </c>
      <c r="G57" s="136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2"/>
      <c r="L57" s="159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36" t="e">
        <f>VLOOKUP(A58,ПТО!$A$2:$D$31,4,FALSE)</f>
        <v>#N/A</v>
      </c>
      <c r="G58" s="136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2"/>
      <c r="L58" s="159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36" t="e">
        <f>VLOOKUP(A59,ПТО!$A$2:$D$31,4,FALSE)</f>
        <v>#N/A</v>
      </c>
      <c r="G59" s="136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2"/>
      <c r="L59" s="159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36" t="e">
        <f>VLOOKUP(A60,ПТО!$A$2:$D$31,4,FALSE)</f>
        <v>#N/A</v>
      </c>
      <c r="G60" s="136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2"/>
      <c r="L60" s="159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36" t="e">
        <f>VLOOKUP(A61,ПТО!$A$2:$D$31,4,FALSE)</f>
        <v>#N/A</v>
      </c>
      <c r="G61" s="136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2"/>
      <c r="L61" s="159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36" t="e">
        <f>VLOOKUP(A62,ПТО!$A$2:$D$31,4,FALSE)</f>
        <v>#N/A</v>
      </c>
      <c r="G62" s="136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2"/>
      <c r="L62" s="159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36" t="e">
        <f>VLOOKUP(A63,ПТО!$A$2:$D$31,4,FALSE)</f>
        <v>#N/A</v>
      </c>
      <c r="G63" s="136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2"/>
      <c r="L63" s="159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36" t="e">
        <f>VLOOKUP(A64,ПТО!$A$2:$D$31,4,FALSE)</f>
        <v>#N/A</v>
      </c>
      <c r="G64" s="136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2"/>
      <c r="L64" s="159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36" t="e">
        <f>VLOOKUP(A65,ПТО!$A$2:$D$31,4,FALSE)</f>
        <v>#N/A</v>
      </c>
      <c r="G65" s="136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2"/>
      <c r="L65" s="159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36" t="e">
        <f>VLOOKUP(A66,ПТО!$A$2:$D$31,4,FALSE)</f>
        <v>#N/A</v>
      </c>
      <c r="G66" s="136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2"/>
      <c r="L66" s="159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36" t="e">
        <f>VLOOKUP(A67,ПТО!$A$2:$D$31,4,FALSE)</f>
        <v>#N/A</v>
      </c>
      <c r="G67" s="136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2"/>
      <c r="L67" s="159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36" t="e">
        <f>VLOOKUP(A68,ПТО!$A$2:$D$31,4,FALSE)</f>
        <v>#N/A</v>
      </c>
      <c r="G68" s="136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2"/>
      <c r="L68" s="159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36" t="e">
        <f>VLOOKUP(A69,ПТО!$A$2:$D$31,4,FALSE)</f>
        <v>#N/A</v>
      </c>
      <c r="G69" s="136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2"/>
      <c r="L69" s="159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36" t="e">
        <f>VLOOKUP(A70,ПТО!$A$2:$D$31,4,FALSE)</f>
        <v>#N/A</v>
      </c>
      <c r="G70" s="136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2"/>
      <c r="L70" s="159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36" t="e">
        <f>VLOOKUP(A71,ПТО!$A$2:$D$31,4,FALSE)</f>
        <v>#N/A</v>
      </c>
      <c r="G71" s="136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9"/>
      <c r="L71" s="159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36" t="e">
        <f>VLOOKUP(A72,ПТО!$A$2:$D$31,4,FALSE)</f>
        <v>#N/A</v>
      </c>
      <c r="G72" s="136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2"/>
      <c r="L72" s="159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3" t="s">
        <v>25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12"/>
      <c r="L75" s="142"/>
      <c r="M75" s="112"/>
      <c r="N75" s="112"/>
      <c r="O75" s="72" t="s">
        <v>101</v>
      </c>
    </row>
    <row r="76" spans="1:16384" ht="18.75" customHeight="1" outlineLevel="1">
      <c r="A76" s="153" t="s">
        <v>26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12"/>
      <c r="L76" s="142"/>
      <c r="M76" s="112"/>
      <c r="N76" s="112"/>
      <c r="O76" s="72" t="s">
        <v>102</v>
      </c>
    </row>
    <row r="77" spans="1:16384" ht="21.75" customHeight="1" outlineLevel="1">
      <c r="A77" s="153" t="s">
        <v>27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12"/>
      <c r="L77" s="142"/>
      <c r="M77" s="112"/>
      <c r="N77" s="112"/>
      <c r="O77" s="72" t="s">
        <v>103</v>
      </c>
    </row>
    <row r="78" spans="1:16384" ht="18.75" customHeight="1" outlineLevel="1">
      <c r="A78" s="153" t="s">
        <v>28</v>
      </c>
      <c r="B78" s="153"/>
      <c r="C78" s="153"/>
      <c r="D78" s="153"/>
      <c r="E78" s="153"/>
      <c r="F78" s="153"/>
      <c r="G78" s="153"/>
      <c r="H78" s="153"/>
      <c r="I78" s="153"/>
      <c r="J78" s="99">
        <f>VLOOKUP(O78,АО,3,FALSE)</f>
        <v>0</v>
      </c>
      <c r="K78" s="112"/>
      <c r="L78" s="142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43" t="s">
        <v>1</v>
      </c>
      <c r="B81" s="143"/>
      <c r="C81" s="143"/>
      <c r="D81" s="143"/>
      <c r="E81" s="143"/>
      <c r="F81" s="143"/>
      <c r="G81" s="143"/>
      <c r="H81" s="143"/>
      <c r="I81" s="143"/>
      <c r="J81" s="99">
        <f t="shared" ref="J81:J90" si="2">VLOOKUP(O81,АО,3,FALSE)</f>
        <v>0</v>
      </c>
      <c r="K81" s="112"/>
      <c r="L81" s="160"/>
      <c r="M81" s="112"/>
      <c r="N81" s="112"/>
      <c r="O81" s="72" t="s">
        <v>105</v>
      </c>
    </row>
    <row r="82" spans="1:15" outlineLevel="1">
      <c r="A82" s="143" t="s">
        <v>2</v>
      </c>
      <c r="B82" s="143"/>
      <c r="C82" s="143"/>
      <c r="D82" s="143"/>
      <c r="E82" s="143"/>
      <c r="F82" s="143"/>
      <c r="G82" s="143"/>
      <c r="H82" s="143"/>
      <c r="I82" s="143"/>
      <c r="J82" s="99">
        <f t="shared" si="2"/>
        <v>0</v>
      </c>
      <c r="K82" s="112"/>
      <c r="L82" s="160"/>
      <c r="M82" s="112"/>
      <c r="N82" s="112"/>
      <c r="O82" s="72" t="s">
        <v>106</v>
      </c>
    </row>
    <row r="83" spans="1:15" outlineLevel="1">
      <c r="A83" s="150" t="s">
        <v>3</v>
      </c>
      <c r="B83" s="151"/>
      <c r="C83" s="151"/>
      <c r="D83" s="151"/>
      <c r="E83" s="151"/>
      <c r="F83" s="151"/>
      <c r="G83" s="151"/>
      <c r="H83" s="151"/>
      <c r="I83" s="152"/>
      <c r="J83" s="99">
        <f t="shared" si="2"/>
        <v>50533.98</v>
      </c>
      <c r="K83" s="112"/>
      <c r="L83" s="160"/>
      <c r="M83" s="112"/>
      <c r="N83" s="112"/>
      <c r="O83" s="72" t="s">
        <v>107</v>
      </c>
    </row>
    <row r="84" spans="1:15" outlineLevel="1">
      <c r="A84" s="150" t="s">
        <v>15</v>
      </c>
      <c r="B84" s="151"/>
      <c r="C84" s="151"/>
      <c r="D84" s="151"/>
      <c r="E84" s="151"/>
      <c r="F84" s="151"/>
      <c r="G84" s="151"/>
      <c r="H84" s="151"/>
      <c r="I84" s="152"/>
      <c r="J84" s="99">
        <f t="shared" si="2"/>
        <v>0</v>
      </c>
      <c r="K84" s="112"/>
      <c r="L84" s="160"/>
      <c r="M84" s="112"/>
      <c r="N84" s="112"/>
      <c r="O84" s="72" t="s">
        <v>108</v>
      </c>
    </row>
    <row r="85" spans="1:15" outlineLevel="1">
      <c r="A85" s="150" t="s">
        <v>16</v>
      </c>
      <c r="B85" s="151"/>
      <c r="C85" s="151"/>
      <c r="D85" s="151"/>
      <c r="E85" s="151"/>
      <c r="F85" s="151"/>
      <c r="G85" s="151"/>
      <c r="H85" s="151"/>
      <c r="I85" s="152"/>
      <c r="J85" s="99">
        <f t="shared" si="2"/>
        <v>0</v>
      </c>
      <c r="K85" s="112"/>
      <c r="L85" s="160"/>
      <c r="M85" s="112"/>
      <c r="N85" s="112"/>
      <c r="O85" s="72" t="s">
        <v>109</v>
      </c>
    </row>
    <row r="86" spans="1:15" outlineLevel="1">
      <c r="A86" s="150" t="s">
        <v>17</v>
      </c>
      <c r="B86" s="151"/>
      <c r="C86" s="151"/>
      <c r="D86" s="151"/>
      <c r="E86" s="151"/>
      <c r="F86" s="151"/>
      <c r="G86" s="151"/>
      <c r="H86" s="151"/>
      <c r="I86" s="152"/>
      <c r="J86" s="99">
        <f t="shared" si="2"/>
        <v>65116.77</v>
      </c>
      <c r="K86" s="112"/>
      <c r="L86" s="160"/>
      <c r="M86" s="112"/>
      <c r="N86" s="112"/>
      <c r="O86" s="72" t="s">
        <v>110</v>
      </c>
    </row>
    <row r="87" spans="1:15" ht="18.75" customHeight="1" outlineLevel="1">
      <c r="A87" s="150" t="s">
        <v>25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2"/>
      <c r="L87" s="160"/>
      <c r="M87" s="112"/>
      <c r="N87" s="112"/>
      <c r="O87" s="72" t="s">
        <v>111</v>
      </c>
    </row>
    <row r="88" spans="1:15" ht="18.75" customHeight="1" outlineLevel="1">
      <c r="A88" s="150" t="s">
        <v>26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2"/>
      <c r="L88" s="160"/>
      <c r="M88" s="112"/>
      <c r="N88" s="112"/>
      <c r="O88" s="72" t="s">
        <v>112</v>
      </c>
    </row>
    <row r="89" spans="1:15" ht="18.75" customHeight="1" outlineLevel="1">
      <c r="A89" s="150" t="s">
        <v>27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2"/>
      <c r="L89" s="160"/>
      <c r="M89" s="112"/>
      <c r="N89" s="112"/>
      <c r="O89" s="72" t="s">
        <v>113</v>
      </c>
    </row>
    <row r="90" spans="1:15" ht="18.75" customHeight="1" outlineLevel="1">
      <c r="A90" s="150" t="s">
        <v>28</v>
      </c>
      <c r="B90" s="151"/>
      <c r="C90" s="151"/>
      <c r="D90" s="151"/>
      <c r="E90" s="151"/>
      <c r="F90" s="151"/>
      <c r="G90" s="151"/>
      <c r="H90" s="151"/>
      <c r="I90" s="152"/>
      <c r="J90" s="99">
        <f t="shared" si="2"/>
        <v>0</v>
      </c>
      <c r="K90" s="112"/>
      <c r="L90" s="160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44" t="s">
        <v>46</v>
      </c>
      <c r="B93" s="144"/>
      <c r="C93" s="144"/>
      <c r="D93" s="147" t="s">
        <v>47</v>
      </c>
      <c r="E93" s="147"/>
      <c r="F93" s="10" t="s">
        <v>48</v>
      </c>
      <c r="G93" s="144" t="s">
        <v>49</v>
      </c>
      <c r="H93" s="144"/>
      <c r="I93" s="144"/>
      <c r="J93" s="144"/>
      <c r="K93" s="112"/>
      <c r="L93" s="112"/>
      <c r="M93" s="112"/>
      <c r="N93" s="112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5">
        <f>VLOOKUP("эл",АО,5,FALSE)</f>
        <v>103036.32</v>
      </c>
      <c r="H94" s="146"/>
      <c r="I94" s="146"/>
      <c r="J94" s="146"/>
      <c r="K94" s="1" t="str">
        <f>VLOOKUP("эл",АО,2,FALSE)</f>
        <v>Электроснабжение</v>
      </c>
      <c r="L94" s="161"/>
    </row>
    <row r="95" spans="1:15" outlineLevel="2">
      <c r="A95" s="149" t="str">
        <f>IF(VLOOKUP("эл",АО,3,FALSE)&gt;0,VLOOKUP("эл1",АО,2,FALSE),0)</f>
        <v>Общий объем потребления, нат. показ.</v>
      </c>
      <c r="B95" s="149"/>
      <c r="C95" s="149"/>
      <c r="D95" s="149"/>
      <c r="E95" s="149"/>
      <c r="F95" s="149"/>
      <c r="G95" s="149"/>
      <c r="H95" s="149"/>
      <c r="I95" s="149"/>
      <c r="J95" s="18">
        <f t="shared" ref="J95:J101" si="3">VLOOKUP(O95,АО,3,FALSE)</f>
        <v>94097.1</v>
      </c>
      <c r="L95" s="161"/>
      <c r="O95" s="1" t="s">
        <v>115</v>
      </c>
    </row>
    <row r="96" spans="1:15" outlineLevel="2">
      <c r="A96" s="149" t="str">
        <f>IF(VLOOKUP("эл",АО,3,FALSE)&gt;0,VLOOKUP("эл2",АО,2,FALSE),0)</f>
        <v>Оплачено потребителями, руб.</v>
      </c>
      <c r="B96" s="149"/>
      <c r="C96" s="149"/>
      <c r="D96" s="149"/>
      <c r="E96" s="149"/>
      <c r="F96" s="149"/>
      <c r="G96" s="149"/>
      <c r="H96" s="149"/>
      <c r="I96" s="149"/>
      <c r="J96" s="18">
        <f t="shared" si="3"/>
        <v>100729.13</v>
      </c>
      <c r="L96" s="161"/>
      <c r="O96" s="1" t="s">
        <v>116</v>
      </c>
    </row>
    <row r="97" spans="1:15" outlineLevel="2">
      <c r="A97" s="149" t="str">
        <f>IF(VLOOKUP("эл",АО,3,FALSE)&gt;0,VLOOKUP("эл3",АО,2,FALSE),0)</f>
        <v>Задолженность потребителей, руб.</v>
      </c>
      <c r="B97" s="149"/>
      <c r="C97" s="149"/>
      <c r="D97" s="149"/>
      <c r="E97" s="149"/>
      <c r="F97" s="149"/>
      <c r="G97" s="149"/>
      <c r="H97" s="149"/>
      <c r="I97" s="149"/>
      <c r="J97" s="18">
        <f t="shared" si="3"/>
        <v>2307.1900000000023</v>
      </c>
      <c r="L97" s="161"/>
      <c r="O97" s="1" t="s">
        <v>117</v>
      </c>
    </row>
    <row r="98" spans="1:15" ht="37.5" customHeight="1" outlineLevel="2">
      <c r="A98" s="149" t="str">
        <f>IF(VLOOKUP("эл",АО,3,FALSE)&gt;0,VLOOKUP("эл4",АО,2,FALSE),0)</f>
        <v>Начислено поставщиком (поставщиками) коммунального ресурса, руб.</v>
      </c>
      <c r="B98" s="149"/>
      <c r="C98" s="149"/>
      <c r="D98" s="149"/>
      <c r="E98" s="149"/>
      <c r="F98" s="149"/>
      <c r="G98" s="149"/>
      <c r="H98" s="149"/>
      <c r="I98" s="149"/>
      <c r="J98" s="18">
        <f t="shared" si="3"/>
        <v>103036.32</v>
      </c>
      <c r="L98" s="161"/>
      <c r="O98" s="1" t="s">
        <v>118</v>
      </c>
    </row>
    <row r="99" spans="1:15" outlineLevel="2">
      <c r="A99" s="149" t="str">
        <f>IF(VLOOKUP("эл",АО,3,FALSE)&gt;0,VLOOKUP("эл5",АО,2,FALSE),0)</f>
        <v>Оплачено поставщику (поставщикам) коммунального ресурса, руб.</v>
      </c>
      <c r="B99" s="149"/>
      <c r="C99" s="149"/>
      <c r="D99" s="149"/>
      <c r="E99" s="149"/>
      <c r="F99" s="149"/>
      <c r="G99" s="149"/>
      <c r="H99" s="149"/>
      <c r="I99" s="149"/>
      <c r="J99" s="18">
        <f t="shared" si="3"/>
        <v>103036.32</v>
      </c>
      <c r="L99" s="161"/>
      <c r="O99" s="1" t="s">
        <v>119</v>
      </c>
    </row>
    <row r="100" spans="1:15" ht="39" customHeight="1" outlineLevel="2">
      <c r="A100" s="14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9"/>
      <c r="C100" s="149"/>
      <c r="D100" s="149"/>
      <c r="E100" s="149"/>
      <c r="F100" s="149"/>
      <c r="G100" s="149"/>
      <c r="H100" s="149"/>
      <c r="I100" s="149"/>
      <c r="J100" s="18">
        <f t="shared" si="3"/>
        <v>0</v>
      </c>
      <c r="L100" s="161"/>
      <c r="O100" s="1" t="s">
        <v>120</v>
      </c>
    </row>
    <row r="101" spans="1:15" ht="34.5" customHeight="1" outlineLevel="2">
      <c r="A101" s="14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9"/>
      <c r="C101" s="149"/>
      <c r="D101" s="149"/>
      <c r="E101" s="149"/>
      <c r="F101" s="149"/>
      <c r="G101" s="149"/>
      <c r="H101" s="149"/>
      <c r="I101" s="149"/>
      <c r="J101" s="18">
        <f t="shared" si="3"/>
        <v>0</v>
      </c>
      <c r="L101" s="161"/>
      <c r="O101" s="1" t="s">
        <v>121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5">
        <f>VLOOKUP("хвс",АО,5,FALSE)</f>
        <v>31159.57</v>
      </c>
      <c r="H102" s="146"/>
      <c r="I102" s="146"/>
      <c r="J102" s="146"/>
      <c r="L102" s="161"/>
    </row>
    <row r="103" spans="1:15" outlineLevel="2">
      <c r="A103" s="149" t="str">
        <f t="shared" ref="A103:A109" si="4">IF(VLOOKUP("хвс",АО,3,FALSE)&gt;0,VLOOKUP(O103,АО,2,FALSE),0)</f>
        <v>Общий объем потребления, нат. показ.</v>
      </c>
      <c r="B103" s="149"/>
      <c r="C103" s="149"/>
      <c r="D103" s="149"/>
      <c r="E103" s="149"/>
      <c r="F103" s="149"/>
      <c r="G103" s="149"/>
      <c r="H103" s="149"/>
      <c r="I103" s="149"/>
      <c r="J103" s="18">
        <f t="shared" ref="J103:J109" si="5">VLOOKUP(O103,АО,3,FALSE)</f>
        <v>2237.67</v>
      </c>
      <c r="L103" s="161"/>
      <c r="O103" s="1" t="s">
        <v>124</v>
      </c>
    </row>
    <row r="104" spans="1:15" ht="18.75" customHeight="1" outlineLevel="2">
      <c r="A104" s="149" t="str">
        <f t="shared" si="4"/>
        <v>Оплачено потребителями, руб.</v>
      </c>
      <c r="B104" s="149"/>
      <c r="C104" s="149"/>
      <c r="D104" s="149"/>
      <c r="E104" s="149"/>
      <c r="F104" s="149"/>
      <c r="G104" s="149"/>
      <c r="H104" s="149"/>
      <c r="I104" s="149"/>
      <c r="J104" s="18">
        <f t="shared" si="5"/>
        <v>32654.82</v>
      </c>
      <c r="L104" s="161"/>
      <c r="O104" s="1" t="s">
        <v>125</v>
      </c>
    </row>
    <row r="105" spans="1:15" ht="18.75" customHeight="1" outlineLevel="2">
      <c r="A105" s="149" t="str">
        <f t="shared" si="4"/>
        <v>Задолженность потребителей, руб.</v>
      </c>
      <c r="B105" s="149"/>
      <c r="C105" s="149"/>
      <c r="D105" s="149"/>
      <c r="E105" s="149"/>
      <c r="F105" s="149"/>
      <c r="G105" s="149"/>
      <c r="H105" s="149"/>
      <c r="I105" s="149"/>
      <c r="J105" s="18">
        <f t="shared" si="5"/>
        <v>0</v>
      </c>
      <c r="L105" s="161"/>
      <c r="O105" s="1" t="s">
        <v>126</v>
      </c>
    </row>
    <row r="106" spans="1:15" ht="36.75" customHeight="1" outlineLevel="2">
      <c r="A106" s="149" t="str">
        <f t="shared" si="4"/>
        <v>Начислено поставщиком (поставщиками) коммунального ресурса, руб.</v>
      </c>
      <c r="B106" s="149"/>
      <c r="C106" s="149"/>
      <c r="D106" s="149"/>
      <c r="E106" s="149"/>
      <c r="F106" s="149"/>
      <c r="G106" s="149"/>
      <c r="H106" s="149"/>
      <c r="I106" s="149"/>
      <c r="J106" s="18">
        <f t="shared" si="5"/>
        <v>31159.57</v>
      </c>
      <c r="L106" s="161"/>
      <c r="O106" s="1" t="s">
        <v>127</v>
      </c>
    </row>
    <row r="107" spans="1:15" ht="18.75" customHeight="1" outlineLevel="2">
      <c r="A107" s="149" t="str">
        <f t="shared" si="4"/>
        <v>Оплачено поставщику (поставщикам) коммунального ресурса, руб.</v>
      </c>
      <c r="B107" s="149"/>
      <c r="C107" s="149"/>
      <c r="D107" s="149"/>
      <c r="E107" s="149"/>
      <c r="F107" s="149"/>
      <c r="G107" s="149"/>
      <c r="H107" s="149"/>
      <c r="I107" s="149"/>
      <c r="J107" s="18">
        <f t="shared" si="5"/>
        <v>31159.57</v>
      </c>
      <c r="L107" s="161"/>
      <c r="O107" s="1" t="s">
        <v>128</v>
      </c>
    </row>
    <row r="108" spans="1:15" ht="37.5" customHeight="1" outlineLevel="2">
      <c r="A108" s="149" t="str">
        <f t="shared" si="4"/>
        <v>Задолженность перед поставщиком (поставщиками) коммунального ресурса, руб.</v>
      </c>
      <c r="B108" s="149"/>
      <c r="C108" s="149"/>
      <c r="D108" s="149"/>
      <c r="E108" s="149"/>
      <c r="F108" s="149"/>
      <c r="G108" s="149"/>
      <c r="H108" s="149"/>
      <c r="I108" s="149"/>
      <c r="J108" s="18">
        <f t="shared" si="5"/>
        <v>0</v>
      </c>
      <c r="L108" s="161"/>
      <c r="O108" s="1" t="s">
        <v>129</v>
      </c>
    </row>
    <row r="109" spans="1:15" ht="39.75" customHeight="1" outlineLevel="2">
      <c r="A109" s="149" t="str">
        <f t="shared" si="4"/>
        <v>Размер пени и штрафов, уплаченных поставщику (поставщикам) коммунального ресурса, руб.</v>
      </c>
      <c r="B109" s="149"/>
      <c r="C109" s="149"/>
      <c r="D109" s="149"/>
      <c r="E109" s="149"/>
      <c r="F109" s="149"/>
      <c r="G109" s="149"/>
      <c r="H109" s="149"/>
      <c r="I109" s="149"/>
      <c r="J109" s="18">
        <f t="shared" si="5"/>
        <v>0</v>
      </c>
      <c r="L109" s="161"/>
      <c r="O109" s="1" t="s">
        <v>130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5">
        <f>VLOOKUP("воо",АО,5,FALSE)</f>
        <v>57886.76</v>
      </c>
      <c r="H110" s="146"/>
      <c r="I110" s="146"/>
      <c r="J110" s="146"/>
      <c r="L110" s="161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3879.81</v>
      </c>
      <c r="L111" s="161"/>
      <c r="O111" s="1" t="s">
        <v>132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59980.81</v>
      </c>
      <c r="L112" s="161"/>
      <c r="O112" s="1" t="s">
        <v>133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0</v>
      </c>
      <c r="L113" s="161"/>
      <c r="O113" s="1" t="s">
        <v>134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57886.76</v>
      </c>
      <c r="L114" s="161"/>
      <c r="O114" s="1" t="s">
        <v>135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57886.76</v>
      </c>
      <c r="L115" s="161"/>
      <c r="O115" s="1" t="s">
        <v>136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61"/>
      <c r="O116" s="1" t="s">
        <v>137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61"/>
      <c r="O117" s="1" t="s">
        <v>138</v>
      </c>
    </row>
    <row r="118" spans="1:15" ht="32.25" customHeight="1" outlineLevel="1">
      <c r="A118" s="148" t="str">
        <f>IF(VLOOKUP("тко",АО,3,FALSE)&gt;0,"Обращение с ТКО",0)</f>
        <v>Обращение с ТКО</v>
      </c>
      <c r="B118" s="148"/>
      <c r="C118" s="148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5">
        <f>VLOOKUP("тко",АО,5,FALSE)</f>
        <v>52317.95</v>
      </c>
      <c r="H118" s="146"/>
      <c r="I118" s="146"/>
      <c r="J118" s="146"/>
      <c r="L118" s="49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96.83</v>
      </c>
      <c r="L119" s="49"/>
      <c r="O119" s="1" t="s">
        <v>140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42773.279999999999</v>
      </c>
      <c r="L120" s="49"/>
      <c r="O120" s="1" t="s">
        <v>141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9544.6699999999983</v>
      </c>
      <c r="L121" s="49"/>
      <c r="O121" s="1" t="s">
        <v>142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52317.95</v>
      </c>
      <c r="L122" s="49"/>
      <c r="O122" s="1" t="s">
        <v>143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52317.95</v>
      </c>
      <c r="L123" s="49"/>
      <c r="O123" s="1" t="s">
        <v>144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8" t="str">
        <f>IF(VLOOKUP("гвс",АО,3,FALSE)&gt;0,"Горячее водоснабжение",0)</f>
        <v>Горячее водоснабжение</v>
      </c>
      <c r="B126" s="148"/>
      <c r="C126" s="148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5">
        <f>VLOOKUP("гвс",АО,5,FALSE)</f>
        <v>20372.169999999998</v>
      </c>
      <c r="H126" s="146"/>
      <c r="I126" s="146"/>
      <c r="J126" s="146"/>
      <c r="L126" s="49"/>
    </row>
    <row r="127" spans="1:15" ht="32.25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1462.99</v>
      </c>
      <c r="L127" s="49"/>
      <c r="O127" s="1" t="s">
        <v>148</v>
      </c>
    </row>
    <row r="128" spans="1:15" ht="32.25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14051.94</v>
      </c>
      <c r="L128" s="49"/>
      <c r="O128" s="1" t="s">
        <v>149</v>
      </c>
    </row>
    <row r="129" spans="1:15" ht="32.25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6320.2299999999977</v>
      </c>
      <c r="L129" s="49"/>
      <c r="O129" s="1" t="s">
        <v>150</v>
      </c>
    </row>
    <row r="130" spans="1:15" ht="32.25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20372.169999999998</v>
      </c>
      <c r="L130" s="49"/>
      <c r="O130" s="1" t="s">
        <v>151</v>
      </c>
    </row>
    <row r="131" spans="1:15" ht="32.25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20372.169999999998</v>
      </c>
      <c r="L131" s="49"/>
      <c r="O131" s="1" t="s">
        <v>152</v>
      </c>
    </row>
    <row r="132" spans="1:15" ht="32.25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6"/>
      <c r="I134" s="146"/>
      <c r="J134" s="146"/>
      <c r="L134" s="49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43" t="s">
        <v>43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1</v>
      </c>
      <c r="O144" t="s">
        <v>172</v>
      </c>
    </row>
    <row r="145" spans="1:15" ht="18.75" customHeight="1" outlineLevel="1">
      <c r="A145" s="143" t="s">
        <v>44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3" t="s">
        <v>175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62342.54</v>
      </c>
      <c r="O146" t="s">
        <v>174</v>
      </c>
    </row>
    <row r="149" spans="1:15" ht="52.5" customHeight="1">
      <c r="A149" s="139" t="s">
        <v>194</v>
      </c>
      <c r="B149" s="139"/>
      <c r="C149" s="139"/>
      <c r="D149" s="139"/>
      <c r="E149" s="139"/>
      <c r="F149" s="139"/>
      <c r="G149" s="139"/>
      <c r="H149" s="139"/>
      <c r="I149" s="139"/>
      <c r="J149" s="139"/>
    </row>
    <row r="151" spans="1:15">
      <c r="A151" s="1" t="s">
        <v>195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8" t="s">
        <v>69</v>
      </c>
      <c r="B154" s="138"/>
      <c r="C154" s="138"/>
      <c r="D154" s="138"/>
      <c r="E154" s="27">
        <f>ПТО!G1</f>
        <v>-58021.66</v>
      </c>
    </row>
    <row r="155" spans="1:15" ht="34.5" customHeight="1">
      <c r="A155" s="140" t="s">
        <v>70</v>
      </c>
      <c r="B155" s="140"/>
      <c r="C155" s="140"/>
      <c r="D155" s="140"/>
      <c r="E155" s="28">
        <f>J13</f>
        <v>74138.747999999992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18</v>
      </c>
      <c r="B157" s="141"/>
      <c r="C157" s="141"/>
      <c r="D157" s="141"/>
      <c r="E157" s="141"/>
      <c r="F157" s="141" t="s">
        <v>19</v>
      </c>
      <c r="G157" s="141"/>
      <c r="H157" s="20" t="s">
        <v>55</v>
      </c>
      <c r="I157" s="141" t="s">
        <v>20</v>
      </c>
      <c r="J157" s="141"/>
    </row>
    <row r="158" spans="1:15" ht="29.25" customHeight="1">
      <c r="A158" s="135" t="str">
        <f t="shared" ref="A158:A163" si="14">IF(N158&gt;0,N158,0)</f>
        <v>Техническое обслуживание охранной сигнализации.</v>
      </c>
      <c r="B158" s="135"/>
      <c r="C158" s="135"/>
      <c r="D158" s="135"/>
      <c r="E158" s="135"/>
      <c r="F158" s="136">
        <f t="shared" ref="F158:F163" si="15">IF(ISERROR(VLOOKUP(A158,$A$28:$J$72,6,FALSE)),0,VLOOKUP(A158,$A$28:$J$72,6,FALSE))</f>
        <v>5790</v>
      </c>
      <c r="G158" s="136"/>
      <c r="H158" s="24" t="str">
        <f t="shared" ref="H158:H187" si="16">VLOOKUP(A158,$A$28:$J$72,8,FALSE)</f>
        <v>ежемесячно</v>
      </c>
      <c r="I158" s="137">
        <f t="shared" ref="I158:I161" si="17">VLOOKUP(A158,$A$28:$J$72,9,FALSE)</f>
        <v>12</v>
      </c>
      <c r="J158" s="137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5" t="str">
        <f t="shared" si="14"/>
        <v>Услуги промышленных альпинистов.</v>
      </c>
      <c r="B159" s="135"/>
      <c r="C159" s="135"/>
      <c r="D159" s="135"/>
      <c r="E159" s="135"/>
      <c r="F159" s="136">
        <f t="shared" si="15"/>
        <v>4000</v>
      </c>
      <c r="G159" s="136"/>
      <c r="H159" s="24" t="str">
        <f t="shared" si="16"/>
        <v>разово</v>
      </c>
      <c r="I159" s="137">
        <f t="shared" si="17"/>
        <v>1</v>
      </c>
      <c r="J159" s="137"/>
      <c r="M159" s="22" t="s">
        <v>74</v>
      </c>
      <c r="N159" s="1" t="str">
        <v>Услуги промышленных альпинистов.</v>
      </c>
    </row>
    <row r="160" spans="1:15" ht="28.5" customHeight="1">
      <c r="A160" s="135" t="str">
        <f t="shared" si="14"/>
        <v>Ремонт домофонной системы.</v>
      </c>
      <c r="B160" s="135"/>
      <c r="C160" s="135"/>
      <c r="D160" s="135"/>
      <c r="E160" s="135"/>
      <c r="F160" s="136">
        <f t="shared" si="15"/>
        <v>2980</v>
      </c>
      <c r="G160" s="136"/>
      <c r="H160" s="24" t="str">
        <f t="shared" si="16"/>
        <v>разово</v>
      </c>
      <c r="I160" s="137">
        <f t="shared" si="17"/>
        <v>1</v>
      </c>
      <c r="J160" s="137"/>
      <c r="M160" s="22" t="s">
        <v>74</v>
      </c>
      <c r="N160" s="1" t="str">
        <v>Ремонт домофонной системы.</v>
      </c>
    </row>
    <row r="161" spans="1:14" ht="28.5" customHeight="1">
      <c r="A161" s="135" t="str">
        <f>IF(N161&gt;0,N161,0)</f>
        <v>Аварийный ремонт теплообменника отопления в ИТП.</v>
      </c>
      <c r="B161" s="135"/>
      <c r="C161" s="135"/>
      <c r="D161" s="135"/>
      <c r="E161" s="135"/>
      <c r="F161" s="136">
        <f t="shared" si="15"/>
        <v>24946.39</v>
      </c>
      <c r="G161" s="136"/>
      <c r="H161" s="24" t="str">
        <f t="shared" si="16"/>
        <v>разово</v>
      </c>
      <c r="I161" s="137">
        <f t="shared" si="17"/>
        <v>1</v>
      </c>
      <c r="J161" s="137"/>
      <c r="M161" s="22" t="s">
        <v>74</v>
      </c>
      <c r="N161" s="1" t="str">
        <v>Аварийный ремонт теплообменника отопления в ИТП.</v>
      </c>
    </row>
    <row r="162" spans="1:14" ht="28.5" customHeight="1">
      <c r="A162" s="135" t="str">
        <f t="shared" si="14"/>
        <v>Приобретение и установка датчика движение, сжим 733.</v>
      </c>
      <c r="B162" s="135"/>
      <c r="C162" s="135"/>
      <c r="D162" s="135"/>
      <c r="E162" s="135"/>
      <c r="F162" s="136">
        <f t="shared" si="15"/>
        <v>1769.17</v>
      </c>
      <c r="G162" s="136"/>
      <c r="H162" s="24" t="str">
        <f t="shared" si="16"/>
        <v>разово</v>
      </c>
      <c r="I162" s="137">
        <f>VLOOKUP(A162,$A$28:$J$72,9,FALSE)</f>
        <v>1</v>
      </c>
      <c r="J162" s="137"/>
      <c r="M162" s="22" t="s">
        <v>74</v>
      </c>
      <c r="N162" s="1" t="str">
        <v>Приобретение и установка датчика движение, сжим 733.</v>
      </c>
    </row>
    <row r="163" spans="1:14" ht="28.5" hidden="1" customHeight="1">
      <c r="A163" s="135">
        <f t="shared" si="14"/>
        <v>0</v>
      </c>
      <c r="B163" s="135"/>
      <c r="C163" s="135"/>
      <c r="D163" s="135"/>
      <c r="E163" s="135"/>
      <c r="F163" s="136">
        <f t="shared" si="15"/>
        <v>0</v>
      </c>
      <c r="G163" s="136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74</v>
      </c>
      <c r="N163" s="1">
        <v>0</v>
      </c>
    </row>
    <row r="164" spans="1:14" ht="28.5" hidden="1" customHeight="1">
      <c r="A164" s="135">
        <f t="shared" ref="A164:A187" si="18">IF(N164&gt;0,N164,0)</f>
        <v>0</v>
      </c>
      <c r="B164" s="135"/>
      <c r="C164" s="135"/>
      <c r="D164" s="135"/>
      <c r="E164" s="135"/>
      <c r="F164" s="136">
        <f t="shared" ref="F164:F187" si="19">IF(ISERROR(VLOOKUP(A164,$A$28:$J$72,6,FALSE)),0,VLOOKUP(A164,$A$28:$J$72,6,FALSE))</f>
        <v>0</v>
      </c>
      <c r="G164" s="136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74</v>
      </c>
      <c r="N164" s="1">
        <v>0</v>
      </c>
    </row>
    <row r="165" spans="1:14" ht="28.5" hidden="1" customHeight="1">
      <c r="A165" s="135">
        <f t="shared" si="18"/>
        <v>0</v>
      </c>
      <c r="B165" s="135"/>
      <c r="C165" s="135"/>
      <c r="D165" s="135"/>
      <c r="E165" s="135"/>
      <c r="F165" s="136">
        <f t="shared" si="19"/>
        <v>0</v>
      </c>
      <c r="G165" s="136"/>
      <c r="H165" s="29" t="e">
        <f t="shared" si="16"/>
        <v>#N/A</v>
      </c>
      <c r="I165" s="137" t="e">
        <f t="shared" si="20"/>
        <v>#N/A</v>
      </c>
      <c r="J165" s="137"/>
      <c r="M165" s="22" t="s">
        <v>74</v>
      </c>
      <c r="N165" s="1">
        <v>0</v>
      </c>
    </row>
    <row r="166" spans="1:14" ht="28.5" hidden="1" customHeight="1">
      <c r="A166" s="135">
        <f t="shared" si="18"/>
        <v>0</v>
      </c>
      <c r="B166" s="135"/>
      <c r="C166" s="135"/>
      <c r="D166" s="135"/>
      <c r="E166" s="135"/>
      <c r="F166" s="136">
        <f t="shared" si="19"/>
        <v>0</v>
      </c>
      <c r="G166" s="136"/>
      <c r="H166" s="29" t="e">
        <f t="shared" si="16"/>
        <v>#N/A</v>
      </c>
      <c r="I166" s="137" t="e">
        <f t="shared" si="20"/>
        <v>#N/A</v>
      </c>
      <c r="J166" s="137"/>
      <c r="M166" s="22" t="s">
        <v>74</v>
      </c>
      <c r="N166" s="1">
        <v>0</v>
      </c>
    </row>
    <row r="167" spans="1:14" ht="28.5" hidden="1" customHeight="1">
      <c r="A167" s="135">
        <f t="shared" si="18"/>
        <v>0</v>
      </c>
      <c r="B167" s="135"/>
      <c r="C167" s="135"/>
      <c r="D167" s="135"/>
      <c r="E167" s="135"/>
      <c r="F167" s="136">
        <f t="shared" si="19"/>
        <v>0</v>
      </c>
      <c r="G167" s="136"/>
      <c r="H167" s="29" t="e">
        <f t="shared" si="16"/>
        <v>#N/A</v>
      </c>
      <c r="I167" s="137" t="e">
        <f t="shared" si="20"/>
        <v>#N/A</v>
      </c>
      <c r="J167" s="137"/>
      <c r="M167" s="22" t="s">
        <v>74</v>
      </c>
      <c r="N167" s="1">
        <v>0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36">
        <f t="shared" si="19"/>
        <v>0</v>
      </c>
      <c r="G168" s="136"/>
      <c r="H168" s="29" t="e">
        <f t="shared" si="16"/>
        <v>#N/A</v>
      </c>
      <c r="I168" s="137" t="e">
        <f t="shared" si="20"/>
        <v>#N/A</v>
      </c>
      <c r="J168" s="137"/>
      <c r="M168" s="22" t="s">
        <v>74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36">
        <f t="shared" si="19"/>
        <v>0</v>
      </c>
      <c r="G169" s="136"/>
      <c r="H169" s="29" t="e">
        <f t="shared" si="16"/>
        <v>#N/A</v>
      </c>
      <c r="I169" s="137" t="e">
        <f t="shared" si="20"/>
        <v>#N/A</v>
      </c>
      <c r="J169" s="137"/>
      <c r="M169" s="22" t="s">
        <v>74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36">
        <f t="shared" si="19"/>
        <v>0</v>
      </c>
      <c r="G170" s="136"/>
      <c r="H170" s="29" t="e">
        <f t="shared" si="16"/>
        <v>#N/A</v>
      </c>
      <c r="I170" s="137" t="e">
        <f t="shared" si="20"/>
        <v>#N/A</v>
      </c>
      <c r="J170" s="137"/>
      <c r="M170" s="22" t="s">
        <v>74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36">
        <f t="shared" si="19"/>
        <v>0</v>
      </c>
      <c r="G171" s="136"/>
      <c r="H171" s="29" t="e">
        <f t="shared" si="16"/>
        <v>#N/A</v>
      </c>
      <c r="I171" s="137" t="e">
        <f t="shared" si="20"/>
        <v>#N/A</v>
      </c>
      <c r="J171" s="137"/>
      <c r="M171" s="22" t="s">
        <v>74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36">
        <f t="shared" si="19"/>
        <v>0</v>
      </c>
      <c r="G172" s="136"/>
      <c r="H172" s="29" t="e">
        <f t="shared" si="16"/>
        <v>#N/A</v>
      </c>
      <c r="I172" s="137" t="e">
        <f t="shared" si="20"/>
        <v>#N/A</v>
      </c>
      <c r="J172" s="137"/>
      <c r="M172" s="22" t="s">
        <v>74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36">
        <f t="shared" si="19"/>
        <v>0</v>
      </c>
      <c r="G173" s="136"/>
      <c r="H173" s="29" t="e">
        <f t="shared" si="16"/>
        <v>#N/A</v>
      </c>
      <c r="I173" s="137" t="e">
        <f t="shared" si="20"/>
        <v>#N/A</v>
      </c>
      <c r="J173" s="137"/>
      <c r="M173" s="22" t="s">
        <v>74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36">
        <f t="shared" si="19"/>
        <v>0</v>
      </c>
      <c r="G174" s="136"/>
      <c r="H174" s="29" t="e">
        <f t="shared" si="16"/>
        <v>#N/A</v>
      </c>
      <c r="I174" s="137" t="e">
        <f t="shared" si="20"/>
        <v>#N/A</v>
      </c>
      <c r="J174" s="137"/>
      <c r="M174" s="22" t="s">
        <v>74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36">
        <f t="shared" si="19"/>
        <v>0</v>
      </c>
      <c r="G175" s="136"/>
      <c r="H175" s="29" t="e">
        <f t="shared" si="16"/>
        <v>#N/A</v>
      </c>
      <c r="I175" s="137" t="e">
        <f t="shared" si="20"/>
        <v>#N/A</v>
      </c>
      <c r="J175" s="137"/>
      <c r="M175" s="22" t="s">
        <v>74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36">
        <f t="shared" si="19"/>
        <v>0</v>
      </c>
      <c r="G176" s="136"/>
      <c r="H176" s="29" t="e">
        <f t="shared" si="16"/>
        <v>#N/A</v>
      </c>
      <c r="I176" s="137" t="e">
        <f t="shared" si="20"/>
        <v>#N/A</v>
      </c>
      <c r="J176" s="137"/>
      <c r="M176" s="22" t="s">
        <v>74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36">
        <f t="shared" si="19"/>
        <v>0</v>
      </c>
      <c r="G177" s="136"/>
      <c r="H177" s="29" t="e">
        <f t="shared" si="16"/>
        <v>#N/A</v>
      </c>
      <c r="I177" s="137" t="e">
        <f t="shared" si="20"/>
        <v>#N/A</v>
      </c>
      <c r="J177" s="137"/>
      <c r="M177" s="22" t="s">
        <v>74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36">
        <f t="shared" si="19"/>
        <v>0</v>
      </c>
      <c r="G178" s="136"/>
      <c r="H178" s="29" t="e">
        <f t="shared" si="16"/>
        <v>#N/A</v>
      </c>
      <c r="I178" s="137" t="e">
        <f t="shared" si="20"/>
        <v>#N/A</v>
      </c>
      <c r="J178" s="137"/>
      <c r="M178" s="22" t="s">
        <v>74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36">
        <f t="shared" si="19"/>
        <v>0</v>
      </c>
      <c r="G179" s="136"/>
      <c r="H179" s="29" t="e">
        <f t="shared" si="16"/>
        <v>#N/A</v>
      </c>
      <c r="I179" s="137" t="e">
        <f t="shared" si="20"/>
        <v>#N/A</v>
      </c>
      <c r="J179" s="137"/>
      <c r="M179" s="22" t="s">
        <v>74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36">
        <f t="shared" si="19"/>
        <v>0</v>
      </c>
      <c r="G180" s="136"/>
      <c r="H180" s="29" t="e">
        <f t="shared" si="16"/>
        <v>#N/A</v>
      </c>
      <c r="I180" s="137" t="e">
        <f t="shared" si="20"/>
        <v>#N/A</v>
      </c>
      <c r="J180" s="137"/>
      <c r="M180" s="22" t="s">
        <v>74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36">
        <f t="shared" si="19"/>
        <v>0</v>
      </c>
      <c r="G181" s="136"/>
      <c r="H181" s="29" t="e">
        <f t="shared" si="16"/>
        <v>#N/A</v>
      </c>
      <c r="I181" s="137" t="e">
        <f t="shared" si="20"/>
        <v>#N/A</v>
      </c>
      <c r="J181" s="137"/>
      <c r="M181" s="22" t="s">
        <v>74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36">
        <f t="shared" si="19"/>
        <v>0</v>
      </c>
      <c r="G182" s="136"/>
      <c r="H182" s="29" t="e">
        <f t="shared" si="16"/>
        <v>#N/A</v>
      </c>
      <c r="I182" s="137" t="e">
        <f t="shared" si="20"/>
        <v>#N/A</v>
      </c>
      <c r="J182" s="137"/>
      <c r="M182" s="22" t="s">
        <v>74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36">
        <f t="shared" si="19"/>
        <v>0</v>
      </c>
      <c r="G183" s="136"/>
      <c r="H183" s="29" t="e">
        <f t="shared" si="16"/>
        <v>#N/A</v>
      </c>
      <c r="I183" s="137" t="e">
        <f t="shared" si="20"/>
        <v>#N/A</v>
      </c>
      <c r="J183" s="137"/>
      <c r="M183" s="22" t="s">
        <v>74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36">
        <f t="shared" si="19"/>
        <v>0</v>
      </c>
      <c r="G184" s="136"/>
      <c r="H184" s="29" t="e">
        <f t="shared" si="16"/>
        <v>#N/A</v>
      </c>
      <c r="I184" s="137" t="e">
        <f t="shared" si="20"/>
        <v>#N/A</v>
      </c>
      <c r="J184" s="137"/>
      <c r="M184" s="22" t="s">
        <v>74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36">
        <f t="shared" si="19"/>
        <v>0</v>
      </c>
      <c r="G185" s="136"/>
      <c r="H185" s="29" t="e">
        <f t="shared" si="16"/>
        <v>#N/A</v>
      </c>
      <c r="I185" s="137" t="e">
        <f t="shared" si="20"/>
        <v>#N/A</v>
      </c>
      <c r="J185" s="137"/>
      <c r="M185" s="22" t="s">
        <v>74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36">
        <f t="shared" si="19"/>
        <v>0</v>
      </c>
      <c r="G186" s="136"/>
      <c r="H186" s="29" t="e">
        <f t="shared" si="16"/>
        <v>#N/A</v>
      </c>
      <c r="I186" s="137" t="e">
        <f t="shared" si="20"/>
        <v>#N/A</v>
      </c>
      <c r="J186" s="137"/>
      <c r="M186" s="22" t="s">
        <v>74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36">
        <f t="shared" si="19"/>
        <v>0</v>
      </c>
      <c r="G187" s="136"/>
      <c r="H187" s="29" t="e">
        <f t="shared" si="16"/>
        <v>#N/A</v>
      </c>
      <c r="I187" s="137" t="e">
        <f t="shared" si="20"/>
        <v>#N/A</v>
      </c>
      <c r="J187" s="137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38" t="s">
        <v>71</v>
      </c>
      <c r="B190" s="138"/>
      <c r="C190" s="138"/>
      <c r="D190" s="138"/>
      <c r="E190" s="27">
        <f>SUM(F158:G187)</f>
        <v>39485.56</v>
      </c>
    </row>
    <row r="191" spans="1:14" ht="51.75" customHeight="1">
      <c r="A191" s="138" t="s">
        <v>72</v>
      </c>
      <c r="B191" s="138"/>
      <c r="C191" s="138"/>
      <c r="D191" s="138"/>
      <c r="E191" s="27">
        <f>E190+E154-E155</f>
        <v>-92674.847999999998</v>
      </c>
    </row>
    <row r="192" spans="1:14">
      <c r="A192" s="107" t="s">
        <v>176</v>
      </c>
    </row>
    <row r="193" spans="1:10" ht="62.25" customHeight="1">
      <c r="A193" s="163" t="s">
        <v>75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51">
        <f>ПТО!G12</f>
        <v>1200</v>
      </c>
      <c r="I194" s="52" t="s">
        <v>77</v>
      </c>
    </row>
    <row r="195" spans="1:10" ht="18.75" customHeight="1">
      <c r="A195" s="162" t="str">
        <f>ПТО!F13</f>
        <v xml:space="preserve">  -  техническое обслуживание охранной сигнализации</v>
      </c>
      <c r="B195" s="162"/>
      <c r="C195" s="162"/>
      <c r="D195" s="162"/>
      <c r="E195" s="162"/>
      <c r="F195" s="162"/>
      <c r="G195" s="162"/>
      <c r="H195" s="51">
        <f>ПТО!G13</f>
        <v>5800</v>
      </c>
      <c r="I195" s="52" t="s">
        <v>77</v>
      </c>
    </row>
    <row r="196" spans="1:10" ht="18.75" customHeight="1">
      <c r="A196" s="162" t="str">
        <f>ПТО!F14</f>
        <v xml:space="preserve">  -  ремонт теплообменника ГВС</v>
      </c>
      <c r="B196" s="162"/>
      <c r="C196" s="162"/>
      <c r="D196" s="162"/>
      <c r="E196" s="162"/>
      <c r="F196" s="162"/>
      <c r="G196" s="162"/>
      <c r="H196" s="51">
        <f>ПТО!G14</f>
        <v>20000</v>
      </c>
      <c r="I196" s="52" t="s">
        <v>77</v>
      </c>
    </row>
    <row r="197" spans="1:10" ht="18.75" customHeight="1">
      <c r="A197" s="162" t="str">
        <f>ПТО!F15</f>
        <v xml:space="preserve">  -  работы по выбору (решению) общего собрания или совета дома</v>
      </c>
      <c r="B197" s="162"/>
      <c r="C197" s="162"/>
      <c r="D197" s="162"/>
      <c r="E197" s="162"/>
      <c r="F197" s="162"/>
      <c r="G197" s="162"/>
      <c r="H197" s="51">
        <f>ПТО!G15</f>
        <v>140000</v>
      </c>
      <c r="I197" s="52" t="s">
        <v>77</v>
      </c>
    </row>
    <row r="198" spans="1:10" ht="18.75" hidden="1" customHeight="1">
      <c r="A198" s="162">
        <f>ПТО!F16</f>
        <v>0</v>
      </c>
      <c r="B198" s="162"/>
      <c r="C198" s="162"/>
      <c r="D198" s="162"/>
      <c r="E198" s="162"/>
      <c r="F198" s="162"/>
      <c r="G198" s="162"/>
      <c r="H198" s="51">
        <f>ПТО!G16</f>
        <v>0</v>
      </c>
      <c r="I198" s="54" t="s">
        <v>77</v>
      </c>
    </row>
    <row r="199" spans="1:10" ht="18.75" hidden="1" customHeight="1">
      <c r="A199" s="162">
        <f>ПТО!F17</f>
        <v>0</v>
      </c>
      <c r="B199" s="162"/>
      <c r="C199" s="162"/>
      <c r="D199" s="162"/>
      <c r="E199" s="162"/>
      <c r="F199" s="162"/>
      <c r="G199" s="162"/>
      <c r="H199" s="51">
        <f>ПТО!G17</f>
        <v>0</v>
      </c>
      <c r="I199" s="52" t="s">
        <v>77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51">
        <f>ПТО!G18</f>
        <v>0</v>
      </c>
      <c r="I200" s="52" t="s">
        <v>77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51">
        <f>ПТО!G19</f>
        <v>0</v>
      </c>
      <c r="I201" s="52" t="s">
        <v>77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51">
        <f>ПТО!G20</f>
        <v>0</v>
      </c>
      <c r="I202" s="52" t="s">
        <v>77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51">
        <f>ПТО!G21</f>
        <v>0</v>
      </c>
      <c r="I203" s="52" t="s">
        <v>77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51">
        <f>ПТО!G22</f>
        <v>0</v>
      </c>
      <c r="I204" s="52" t="s">
        <v>77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51">
        <f>ПТО!G23</f>
        <v>0</v>
      </c>
      <c r="I205" s="52" t="s">
        <v>77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51">
        <f>ПТО!G24</f>
        <v>0</v>
      </c>
      <c r="I206" s="52" t="s">
        <v>77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51">
        <f>ПТО!G25</f>
        <v>0</v>
      </c>
      <c r="I207" s="52" t="s">
        <v>77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51">
        <f>ПТО!G26</f>
        <v>0</v>
      </c>
      <c r="I208" s="52" t="s">
        <v>77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51">
        <f>ПТО!G27</f>
        <v>0</v>
      </c>
      <c r="I209" s="52" t="s">
        <v>77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51">
        <f>ПТО!G28</f>
        <v>0</v>
      </c>
      <c r="I210" s="52" t="s">
        <v>77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51">
        <f>ПТО!G29</f>
        <v>0</v>
      </c>
      <c r="I211" s="52" t="s">
        <v>77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51">
        <f>ПТО!G30</f>
        <v>0</v>
      </c>
      <c r="I212" s="52" t="s">
        <v>77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167000</v>
      </c>
      <c r="I214" s="58" t="s">
        <v>79</v>
      </c>
    </row>
  </sheetData>
  <sheetProtection algorithmName="SHA-512" hashValue="TJJn+x/ECMsq0AZu536iS+y7r+9RH/VHLcTMrSl8J/mn8nUDcQmX/fL96a4dp5en1TLAXgTw45nYb1whikks7w==" saltValue="hvqWuMSy5b1WWPgc1r8L9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A27" sqref="A27:E2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-58021.66</f>
        <v>-58021.66</v>
      </c>
    </row>
    <row r="2" spans="1:12" ht="18.75" customHeight="1">
      <c r="A2" s="123" t="s">
        <v>189</v>
      </c>
      <c r="B2" s="125" t="s">
        <v>181</v>
      </c>
      <c r="C2" s="125">
        <v>12</v>
      </c>
      <c r="D2" s="121">
        <v>5790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179</v>
      </c>
      <c r="B3" s="126" t="s">
        <v>182</v>
      </c>
      <c r="C3" s="122">
        <v>1</v>
      </c>
      <c r="D3" s="124">
        <v>4000</v>
      </c>
      <c r="E3" s="127" t="s">
        <v>183</v>
      </c>
      <c r="F3" s="30"/>
      <c r="G3" s="30"/>
      <c r="L3" s="33" t="str">
        <f t="shared" si="0"/>
        <v>ТР</v>
      </c>
    </row>
    <row r="4" spans="1:12" ht="18.75" customHeight="1">
      <c r="A4" s="128" t="s">
        <v>180</v>
      </c>
      <c r="B4" s="126" t="s">
        <v>182</v>
      </c>
      <c r="C4" s="126">
        <v>1</v>
      </c>
      <c r="D4" s="124">
        <v>2980</v>
      </c>
      <c r="E4" s="132" t="s">
        <v>188</v>
      </c>
      <c r="F4" s="30"/>
      <c r="G4" s="30"/>
      <c r="L4" s="33" t="str">
        <f t="shared" si="0"/>
        <v>ТР</v>
      </c>
    </row>
    <row r="5" spans="1:12" ht="18.75" customHeight="1">
      <c r="A5" s="129" t="s">
        <v>184</v>
      </c>
      <c r="B5" s="130" t="s">
        <v>182</v>
      </c>
      <c r="C5" s="43">
        <v>1</v>
      </c>
      <c r="D5" s="44">
        <v>24946.39</v>
      </c>
      <c r="E5" s="129" t="s">
        <v>185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191</v>
      </c>
      <c r="B6" s="131" t="s">
        <v>182</v>
      </c>
      <c r="C6" s="43">
        <v>1</v>
      </c>
      <c r="D6" s="48">
        <v>1769.17</v>
      </c>
      <c r="E6" s="46" t="s">
        <v>187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190</v>
      </c>
      <c r="G13" s="116">
        <v>5800</v>
      </c>
      <c r="L13" s="33">
        <f t="shared" si="0"/>
        <v>0</v>
      </c>
    </row>
    <row r="14" spans="1:12" ht="15.75">
      <c r="A14" s="30"/>
      <c r="F14" s="133" t="s">
        <v>192</v>
      </c>
      <c r="G14" s="134">
        <v>20000</v>
      </c>
      <c r="L14" s="33">
        <f t="shared" si="0"/>
        <v>0</v>
      </c>
    </row>
    <row r="15" spans="1:12" ht="31.5">
      <c r="A15" s="30"/>
      <c r="F15" s="115" t="s">
        <v>193</v>
      </c>
      <c r="G15" s="116">
        <v>140000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22445.64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22445.64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54277.68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54277.68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196</v>
      </c>
      <c r="B41" s="38">
        <v>29111.4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29111.4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16324.08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16324.08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6801.72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6801.72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28703.279999999999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28703.279999999999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oExfLH85qaf02RtT15y7z5YA/btezs9GgictHzlT93h//qKMV3YnDFLv6hrvbTA/allF/i7THbm7sH1ZTj6low==" saltValue="aTvzAbp3vTlh8f7GvBDSl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27" sqref="A27:E2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186</v>
      </c>
      <c r="F1" s="62">
        <v>1133.6199999999999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121613.27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234992.32799999998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160853.57999999999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F1*5.45*12</f>
        <v>74138.747999999992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254850.19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254850.19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254850.19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101755.408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6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6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6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6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5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5"/>
      <c r="N26" s="65"/>
    </row>
    <row r="27" spans="1:15" ht="18.75" customHeight="1">
      <c r="A27" s="72" t="s">
        <v>107</v>
      </c>
      <c r="B27" s="77" t="s">
        <v>3</v>
      </c>
      <c r="C27" s="88">
        <v>50533.98</v>
      </c>
      <c r="D27" s="83" t="s">
        <v>58</v>
      </c>
      <c r="E27" s="66"/>
      <c r="F27" s="66"/>
      <c r="G27" s="66"/>
      <c r="H27" s="66"/>
      <c r="I27" s="66"/>
      <c r="J27" s="66"/>
      <c r="M27" s="165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5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5"/>
      <c r="N29" s="65"/>
    </row>
    <row r="30" spans="1:15" ht="18.75" customHeight="1">
      <c r="A30" s="72" t="s">
        <v>110</v>
      </c>
      <c r="B30" s="77" t="s">
        <v>17</v>
      </c>
      <c r="C30" s="88">
        <v>65116.77</v>
      </c>
      <c r="D30" s="83" t="s">
        <v>64</v>
      </c>
      <c r="E30" s="66"/>
      <c r="F30" s="66"/>
      <c r="G30" s="66"/>
      <c r="H30" s="66"/>
      <c r="I30" s="66"/>
      <c r="J30" s="66"/>
      <c r="M30" s="165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5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5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5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5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103036.32</v>
      </c>
      <c r="F37" s="96" t="s">
        <v>169</v>
      </c>
      <c r="G37" s="68"/>
      <c r="H37" s="68"/>
      <c r="I37" s="68"/>
      <c r="L37" s="65"/>
      <c r="M37" s="164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94097.1</v>
      </c>
      <c r="D38" s="96" t="s">
        <v>167</v>
      </c>
      <c r="E38" s="70"/>
      <c r="G38" s="69"/>
      <c r="H38" s="69"/>
      <c r="L38" s="65"/>
      <c r="M38" s="164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100729.13</v>
      </c>
      <c r="D39" s="96" t="s">
        <v>168</v>
      </c>
      <c r="E39" s="70"/>
      <c r="G39" s="69"/>
      <c r="H39" s="69"/>
      <c r="L39" s="65"/>
      <c r="M39" s="164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2307.1900000000023</v>
      </c>
      <c r="D40" s="82" t="s">
        <v>57</v>
      </c>
      <c r="E40" s="70"/>
      <c r="G40" s="69"/>
      <c r="H40" s="69"/>
      <c r="L40" s="65"/>
      <c r="M40" s="164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103036.32</v>
      </c>
      <c r="D41" s="82" t="s">
        <v>57</v>
      </c>
      <c r="E41" s="70"/>
      <c r="G41" s="69"/>
      <c r="H41" s="69"/>
      <c r="L41" s="65"/>
      <c r="M41" s="164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103036.32</v>
      </c>
      <c r="D42" s="82" t="s">
        <v>57</v>
      </c>
      <c r="E42" s="70"/>
      <c r="G42" s="69"/>
      <c r="H42" s="69"/>
      <c r="L42" s="65"/>
      <c r="M42" s="164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4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4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31159.57</v>
      </c>
      <c r="F45" s="96" t="s">
        <v>169</v>
      </c>
      <c r="G45" s="68"/>
      <c r="H45" s="68"/>
      <c r="L45" s="65"/>
      <c r="M45" s="164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2237.67</v>
      </c>
      <c r="D46" s="96" t="s">
        <v>170</v>
      </c>
      <c r="E46" s="70"/>
      <c r="G46" s="69"/>
      <c r="H46" s="69"/>
      <c r="L46" s="65"/>
      <c r="M46" s="164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32654.82</v>
      </c>
      <c r="D47" s="96" t="s">
        <v>168</v>
      </c>
      <c r="E47" s="70"/>
      <c r="G47" s="69"/>
      <c r="H47" s="69"/>
      <c r="L47" s="65"/>
      <c r="M47" s="164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0</v>
      </c>
      <c r="D48" s="82" t="s">
        <v>57</v>
      </c>
      <c r="E48" s="70"/>
      <c r="G48" s="69"/>
      <c r="H48" s="69"/>
      <c r="L48" s="65"/>
      <c r="M48" s="164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31159.57</v>
      </c>
      <c r="D49" s="82" t="s">
        <v>57</v>
      </c>
      <c r="E49" s="70"/>
      <c r="G49" s="69"/>
      <c r="H49" s="69"/>
      <c r="L49" s="65"/>
      <c r="M49" s="164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31159.57</v>
      </c>
      <c r="D50" s="82" t="s">
        <v>57</v>
      </c>
      <c r="E50" s="70"/>
      <c r="G50" s="69"/>
      <c r="H50" s="69"/>
      <c r="L50" s="65"/>
      <c r="M50" s="164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4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4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57886.76</v>
      </c>
      <c r="F53" s="96" t="s">
        <v>169</v>
      </c>
      <c r="G53" s="68"/>
      <c r="H53" s="68"/>
      <c r="L53" s="65"/>
      <c r="M53" s="164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3879.81</v>
      </c>
      <c r="D54" s="96" t="s">
        <v>170</v>
      </c>
      <c r="E54" s="71"/>
      <c r="F54" s="91"/>
      <c r="G54" s="66"/>
      <c r="H54" s="66"/>
      <c r="L54" s="65"/>
      <c r="M54" s="164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59980.81</v>
      </c>
      <c r="D55" s="96" t="s">
        <v>168</v>
      </c>
      <c r="E55" s="71"/>
      <c r="G55" s="66"/>
      <c r="H55" s="66"/>
      <c r="L55" s="65"/>
      <c r="M55" s="164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0</v>
      </c>
      <c r="D56" s="82" t="s">
        <v>57</v>
      </c>
      <c r="E56" s="71"/>
      <c r="G56" s="66"/>
      <c r="H56" s="66"/>
      <c r="L56" s="65"/>
      <c r="M56" s="164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57886.76</v>
      </c>
      <c r="D57" s="82" t="s">
        <v>57</v>
      </c>
      <c r="E57" s="71"/>
      <c r="G57" s="66"/>
      <c r="H57" s="66"/>
      <c r="L57" s="65"/>
      <c r="M57" s="164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57886.76</v>
      </c>
      <c r="D58" s="82" t="s">
        <v>57</v>
      </c>
      <c r="E58" s="71"/>
      <c r="G58" s="66"/>
      <c r="H58" s="66"/>
      <c r="L58" s="65"/>
      <c r="M58" s="164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4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4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52317.95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96.83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42773.279999999999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9544.6699999999983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52317.95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52317.95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20372.169999999998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1462.99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14051.94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6320.2299999999977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20372.169999999998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20372.169999999998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27" sqref="A27:E2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1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62342.54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2020-03-20T01:47:29Z</dcterms:modified>
</cp:coreProperties>
</file>