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A118" i="1" l="1"/>
  <c r="A119" i="1"/>
  <c r="A122" i="1"/>
  <c r="A101" i="1"/>
  <c r="F134" i="1"/>
  <c r="A98" i="1"/>
  <c r="D118" i="1"/>
  <c r="A120" i="1"/>
  <c r="A124" i="1"/>
  <c r="A141" i="1"/>
  <c r="F94" i="1"/>
  <c r="A97" i="1"/>
  <c r="A94" i="1"/>
  <c r="A95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<sst xmlns="http://schemas.openxmlformats.org/spreadsheetml/2006/main" count="558" uniqueCount="206">
  <si>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</si>
  <si>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</si>
  <si>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</si>
  <si>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</si>
  <si>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</si>
  <si>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</si>
  <si>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</si>
  <si>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</si>
  <si>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</si>
  <si>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</si>
  <si>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</si>
  <si>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</si>
  <si>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</si>
  <si>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</si>
  <si>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</si>
  <si>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</si>
  <si>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</si>
  <si>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</si>
  <si>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</si>
  <si>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</si>
  <si>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</si>
  <si>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</si>
  <si>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</si>
  <si>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</si>
  <si>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</si>
  <si>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</si>
  <si>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</si>
  <si>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</si>
  <si>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</si>
  <si>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</si>
  <si>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</si>
  <si>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</si>
  <si>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</si>
  <si>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</si>
  <si>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</si>
  <si>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</si>
  <si>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</si>
  <si>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</si>
  <si>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</si>
  <si>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</si>
  <si>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</si>
  <si>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</si>
  <si>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</si>
  <si>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</si>
  <si>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</si>
  <si>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</si>
  <si>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</si>
  <si>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</si>
  <si>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</si>
  <si>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</si>
  <si>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</si>
  <si>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</si>
  <si>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</si>
  <si>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</si>
  <si>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</si>
  <si>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</si>
  <si>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</si>
  <si>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</si>
  <si>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</si>
  <si>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</si>
  <si>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</si>
  <si>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</si>
  <si>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</si>
  <si>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</si>
  <si>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</si>
  <si>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</si>
  <si>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</si>
  <si>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</si>
  <si>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</si>
  <si>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</si>
  <si>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</si>
  <si>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</si>
  <si>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</si>
  <si>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</si>
  <si>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</si>
  <si>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</si>
  <si>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</si>
  <si>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</si>
  <si>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</si>
  <si>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</si>
  <si>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</si>
  <si>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</si>
  <si>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</si>
  <si>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</si>
  <si>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</si>
  <si>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</si>
  <si>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</si>
  <si>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</si>
  <si>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</si>
  <si>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</si>
  <si>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</si>
  <si>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</si>
  <si>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</si>
  <si>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</si>
  <si>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</si>
  <si>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</si>
  <si>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</si>
  <si>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</si>
  <si>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</si>
  <si>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</si>
  <si>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</si>
  <si>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</si>
  <si>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</si>
  <si>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</si>
  <si>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</si>
  <si>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</si>
  <si>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</si>
  <si>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</si>
  <si>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</si>
  <si>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</si>
  <si>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</si>
  <si>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</si>
  <si>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</si>
  <si>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</si>
  <si>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</si>
  <si>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</si>
  <si>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</si>
  <si>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</si>
  <si>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</si>
  <si>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</si>
  <si>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</si>
  <si>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</si>
  <si>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</si>
  <si>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</si>
  <si>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</si>
  <si>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</si>
  <si>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</si>
  <si>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</si>
  <si>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</si>
  <si>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</si>
  <si>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</si>
  <si>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</si>
  <si>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</si>
  <si>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</si>
  <si>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</si>
  <si>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</si>
  <si>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</si>
  <si>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</si>
  <si>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</si>
  <si>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</si>
  <si>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</si>
  <si>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</si>
  <si>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</si>
  <si>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</si>
  <si>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</si>
  <si>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</si>
  <si>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</si>
  <si>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</si>
  <si>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</si>
  <si>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</si>
  <si>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</si>
  <si>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</si>
  <si>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</si>
  <si>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</si>
  <si>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</si>
  <si>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</si>
  <si>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</si>
  <si>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</si>
  <si>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</si>
  <si>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</si>
  <si>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</si>
  <si>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</si>
  <si>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</si>
  <si>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</si>
  <si>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</si>
  <si>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</si>
  <si>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</si>
  <si>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</si>
  <si>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</si>
  <si>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</si>
  <si>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</si>
  <si>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</si>
  <si>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</si>
  <si>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</si>
  <si>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</si>
  <si>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</si>
  <si>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</si>
  <si>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</si>
  <si>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</si>
  <si>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84</t>
  </si>
  <si>
    <t>Услуги промышленных альпинистов.</t>
  </si>
  <si>
    <t>Приобретение и установка циркуляционного насоса системы ГВС.</t>
  </si>
  <si>
    <t>Замена компенсаторов ГВС и ХВС в подвале.</t>
  </si>
  <si>
    <t>ежемесячно</t>
  </si>
  <si>
    <t>разово</t>
  </si>
  <si>
    <t>АВР от 22.02.2019</t>
  </si>
  <si>
    <t>АВР от 07.05.2019, Решение</t>
  </si>
  <si>
    <t>АВР от 31.05.2019</t>
  </si>
  <si>
    <t>АВР от 11.06.2019</t>
  </si>
  <si>
    <t>площадь дома</t>
  </si>
  <si>
    <t>Аварийный ремонт теплообменника отопления в ИТП.</t>
  </si>
  <si>
    <t>АВР от 14.09.2019</t>
  </si>
  <si>
    <t>Монтаж системы домофон.</t>
  </si>
  <si>
    <t>АВР от 30.09.2019, Протокол, счет №19 от 17.09.2019</t>
  </si>
  <si>
    <t>Монтаж системы видеонаблюдения.</t>
  </si>
  <si>
    <t>счет №62 от 11.09.2019, протокол</t>
  </si>
  <si>
    <t>с 01.08.2019 приказ №59 от 26.08.2019, Протокол №1-2 от 29.05.2019</t>
  </si>
  <si>
    <t>Ремонт прибора учета тепловой энергии.</t>
  </si>
  <si>
    <t>АВР от 17.09.2019, Счет №С-829 от 17.09.2019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</si>
  <si>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</si>
  <si>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</si>
  <si>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84 в части текущего ремонта</t>
  </si>
  <si>
    <t xml:space="preserve">  -  ремонт теплообменника ГВС</t>
  </si>
  <si>
    <t>Работы (услуги) по управлению многоквартирным домом</t>
  </si>
  <si>
    <t xml:space="preserve">  -  работы по выбору (решению) общего собрания или совета дома</t>
  </si>
  <si>
    <t>Приобретение и установка железного листа на торец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</si>
</sst>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21" fillId="0" borderId="0"/>
    <xf numFmtId="0" fontId="21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18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/>
    <xf numFmtId="4" fontId="6" fillId="0" borderId="0" xfId="5" applyNumberFormat="1" applyFill="1" applyBorder="1" applyAlignment="1"/>
    <xf numFmtId="4" fontId="6" fillId="0" borderId="0" xfId="5" applyNumberFormat="1" applyBorder="1" applyAlignment="1"/>
    <xf numFmtId="0" fontId="20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0" fontId="6" fillId="0" borderId="0" xfId="5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0" fontId="6" fillId="0" borderId="0" xfId="5" applyBorder="1" applyAlignment="1"/>
    <xf numFmtId="4" fontId="10" fillId="0" borderId="5" xfId="0" applyNumberFormat="1" applyFont="1" applyBorder="1" applyAlignment="1">
      <alignment horizontal="center" vertical="center" wrapText="1"/>
    </xf>
    <xf numFmtId="0" fontId="5" fillId="0" borderId="0" xfId="9"/>
    <xf numFmtId="0" fontId="5" fillId="0" borderId="0" xfId="9" applyFill="1"/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4" fillId="0" borderId="0" xfId="13" applyFill="1" applyBorder="1" applyAlignment="1">
      <alignment horizontal="center"/>
    </xf>
    <xf numFmtId="4" fontId="4" fillId="0" borderId="0" xfId="13" applyNumberFormat="1" applyFill="1" applyBorder="1" applyAlignment="1"/>
    <xf numFmtId="0" fontId="4" fillId="0" borderId="0" xfId="13" applyFont="1" applyFill="1" applyBorder="1" applyAlignment="1"/>
    <xf numFmtId="0" fontId="4" fillId="0" borderId="0" xfId="13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0" fillId="6" borderId="0" xfId="4" applyFont="1" applyFill="1" applyBorder="1" applyAlignment="1"/>
    <xf numFmtId="0" fontId="2" fillId="6" borderId="0" xfId="4" applyFont="1" applyFill="1" applyBorder="1" applyAlignment="1">
      <alignment horizontal="center"/>
    </xf>
    <xf numFmtId="0" fontId="7" fillId="6" borderId="0" xfId="4" applyFill="1" applyBorder="1" applyAlignment="1">
      <alignment horizontal="center"/>
    </xf>
    <xf numFmtId="4" fontId="7" fillId="6" borderId="0" xfId="4" applyNumberFormat="1" applyFill="1" applyBorder="1" applyAlignment="1"/>
    <xf numFmtId="0" fontId="0" fillId="0" borderId="0" xfId="0" applyFill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5" applyFont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1"/>
    <cellStyle name="Обычный 3" xfId="2"/>
    <cellStyle name="Обычный 3 2" xfId="8"/>
    <cellStyle name="Обычный 3 3" xfId="7"/>
    <cellStyle name="Обычный 3 4" xfId="12"/>
    <cellStyle name="Обычный 4" xfId="4"/>
    <cellStyle name="Обычный 4 2" xfId="13"/>
    <cellStyle name="Обычный 5" xfId="5"/>
    <cellStyle name="Обычный 5 2" xfId="14"/>
    <cellStyle name="Обычный 6" xfId="9"/>
    <cellStyle name="Финансовый 2" xfId="6"/>
    <cellStyle name="Финансовый 2 2" xfId="15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5"/>
  <sheetViews>
    <sheetView tabSelected="1" view="pageBreakPreview" zoomScaleNormal="100" zoomScaleSheetLayoutView="100" workbookViewId="0">
      <selection activeCell="M10" sqref="M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0" t="s">
        <v>179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1" t="s">
        <v>86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1" t="s">
        <v>87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135453.57999999999</v>
      </c>
      <c r="K10" s="109"/>
      <c r="L10" s="171"/>
      <c r="M10" s="109"/>
      <c r="N10" s="109"/>
      <c r="O10" s="71" t="s">
        <v>88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259206.02</v>
      </c>
      <c r="K11" s="109"/>
      <c r="L11" s="171"/>
      <c r="M11" s="109"/>
      <c r="N11" s="109"/>
      <c r="O11" s="71" t="s">
        <v>89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172164.9</v>
      </c>
      <c r="K12" s="109"/>
      <c r="L12" s="171"/>
      <c r="M12" s="109"/>
      <c r="N12" s="109"/>
      <c r="O12" s="71" t="s">
        <v>90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58544.600000000006</v>
      </c>
      <c r="K13" s="109"/>
      <c r="L13" s="171"/>
      <c r="M13" s="109"/>
      <c r="N13" s="109"/>
      <c r="O13" s="71" t="s">
        <v>91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28496.52</v>
      </c>
      <c r="K14" s="109"/>
      <c r="L14" s="171"/>
      <c r="M14" s="109"/>
      <c r="N14" s="109"/>
      <c r="O14" s="71" t="s">
        <v>92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296243.36</v>
      </c>
      <c r="K15" s="109"/>
      <c r="L15" s="171"/>
      <c r="M15" s="109"/>
      <c r="N15" s="109"/>
      <c r="O15" s="71" t="s">
        <v>93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296243.36</v>
      </c>
      <c r="K16" s="109"/>
      <c r="L16" s="171"/>
      <c r="M16" s="109"/>
      <c r="N16" s="109"/>
      <c r="O16" s="71" t="s">
        <v>94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1" t="s">
        <v>95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1" t="s">
        <v>96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1" t="s">
        <v>97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1" t="s">
        <v>98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296243.36</v>
      </c>
      <c r="K21" s="109"/>
      <c r="L21" s="171"/>
      <c r="M21" s="109"/>
      <c r="N21" s="109"/>
      <c r="O21" s="71" t="s">
        <v>99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1" t="s">
        <v>100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1" t="s">
        <v>101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98416.239999999991</v>
      </c>
      <c r="K24" s="109"/>
      <c r="L24" s="171"/>
      <c r="M24" s="109"/>
      <c r="N24" s="109"/>
      <c r="O24" s="71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45537.22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55" t="str">
        <f>ПТО!A40</f>
        <v>Работы (услуги) по управлению многоквартирным домом</v>
      </c>
      <c r="B29" s="155"/>
      <c r="C29" s="155"/>
      <c r="D29" s="155"/>
      <c r="E29" s="155"/>
      <c r="F29" s="160">
        <f>VLOOKUP(A29,ПТО!$A$39:$D$53,2,FALSE)</f>
        <v>68340</v>
      </c>
      <c r="G29" s="160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2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29169.79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16401.599999999999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6970.68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28759.75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55">
        <f>ПТО!A46</f>
        <v>0</v>
      </c>
      <c r="B35" s="155"/>
      <c r="C35" s="155"/>
      <c r="D35" s="155"/>
      <c r="E35" s="155"/>
      <c r="F35" s="160" t="e">
        <f>VLOOKUP(A35,ПТО!$A$39:$D$53,2,FALSE)</f>
        <v>#N/A</v>
      </c>
      <c r="G35" s="160"/>
      <c r="H35" s="42" t="e">
        <f>VLOOKUP(A35,ПТО!$A$39:$D$53,3,FALSE)</f>
        <v>#N/A</v>
      </c>
      <c r="I35" s="156" t="e">
        <f>VLOOKUP(A35,ПТО!$A$39:$D$53,4,FALSE)</f>
        <v>#N/A</v>
      </c>
      <c r="J35" s="156"/>
      <c r="K35" s="109"/>
      <c r="L35" s="172"/>
      <c r="M35" s="116"/>
      <c r="N35" s="109"/>
      <c r="O35" s="23">
        <f t="shared" si="1"/>
        <v>0</v>
      </c>
      <c r="R35" s="1" t="s">
        <v>75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2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55" t="str">
        <f>ПТО!A2</f>
        <v>Техническое обслуживание охранной сигнализации.</v>
      </c>
      <c r="B43" s="155"/>
      <c r="C43" s="155"/>
      <c r="D43" s="155"/>
      <c r="E43" s="155"/>
      <c r="F43" s="160">
        <f>VLOOKUP(A43,ПТО!$A$2:$D$31,4,FALSE)</f>
        <v>5400</v>
      </c>
      <c r="G43" s="160"/>
      <c r="H43" s="19" t="str">
        <f>VLOOKUP(A43,ПТО!$A$2:$D$31,2,FALSE)</f>
        <v>ежемесячно</v>
      </c>
      <c r="I43" s="156">
        <f>VLOOKUP(A43,ПТО!$A$2:$D$31,3,FALSE)</f>
        <v>12</v>
      </c>
      <c r="J43" s="156"/>
      <c r="K43" s="109"/>
      <c r="L43" s="172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76</v>
      </c>
    </row>
    <row r="44" spans="1:18" ht="51" customHeight="1" outlineLevel="1">
      <c r="A44" s="155" t="str">
        <f>ПТО!A3</f>
        <v>Услуги промышленных альпинистов.</v>
      </c>
      <c r="B44" s="155"/>
      <c r="C44" s="155"/>
      <c r="D44" s="155"/>
      <c r="E44" s="155"/>
      <c r="F44" s="160">
        <f>VLOOKUP(A44,ПТО!$A$2:$D$31,4,FALSE)</f>
        <v>4000</v>
      </c>
      <c r="G44" s="160"/>
      <c r="H44" s="25" t="str">
        <f>VLOOKUP(A44,ПТО!$A$2:$D$31,2,FALSE)</f>
        <v>разово</v>
      </c>
      <c r="I44" s="156">
        <f>VLOOKUP(A44,ПТО!$A$2:$D$31,3,FALSE)</f>
        <v>1</v>
      </c>
      <c r="J44" s="156"/>
      <c r="K44" s="109"/>
      <c r="L44" s="172"/>
      <c r="M44" s="116"/>
      <c r="N44" s="109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55" t="str">
        <f>ПТО!A4</f>
        <v>Приобретение и установка железного листа на торец МКД.</v>
      </c>
      <c r="B45" s="155"/>
      <c r="C45" s="155"/>
      <c r="D45" s="155"/>
      <c r="E45" s="155"/>
      <c r="F45" s="160">
        <f>VLOOKUP(A45,ПТО!$A$2:$D$31,4,FALSE)</f>
        <v>4800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6"/>
      <c r="N45" s="109"/>
      <c r="O45" s="23" t="str">
        <f t="shared" si="1"/>
        <v>Приобретение и установка железного листа на торец МКД.</v>
      </c>
      <c r="R45" s="22" t="s">
        <v>76</v>
      </c>
    </row>
    <row r="46" spans="1:18" ht="51" customHeight="1" outlineLevel="1">
      <c r="A46" s="155" t="str">
        <f>ПТО!A5</f>
        <v>Приобретение и установка циркуляционного насоса системы ГВС.</v>
      </c>
      <c r="B46" s="155"/>
      <c r="C46" s="155"/>
      <c r="D46" s="155"/>
      <c r="E46" s="155"/>
      <c r="F46" s="160">
        <f>VLOOKUP(A46,ПТО!$A$2:$D$31,4,FALSE)</f>
        <v>6000</v>
      </c>
      <c r="G46" s="160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2"/>
      <c r="M46" s="116"/>
      <c r="N46" s="109"/>
      <c r="O46" s="23" t="str">
        <f t="shared" si="1"/>
        <v>Приобретение и установка циркуляционного насоса системы ГВС.</v>
      </c>
      <c r="R46" s="22" t="s">
        <v>76</v>
      </c>
    </row>
    <row r="47" spans="1:18" ht="51" customHeight="1" outlineLevel="1">
      <c r="A47" s="155" t="str">
        <f>ПТО!A6</f>
        <v>Замена компенсаторов ГВС и ХВС в подвале.</v>
      </c>
      <c r="B47" s="155"/>
      <c r="C47" s="155"/>
      <c r="D47" s="155"/>
      <c r="E47" s="155"/>
      <c r="F47" s="160">
        <f>VLOOKUP(A47,ПТО!$A$2:$D$31,4,FALSE)</f>
        <v>3500</v>
      </c>
      <c r="G47" s="160"/>
      <c r="H47" s="25" t="str">
        <f>VLOOKUP(A47,ПТО!$A$2:$D$31,2,FALSE)</f>
        <v>разово</v>
      </c>
      <c r="I47" s="156">
        <f>VLOOKUP(A47,ПТО!$A$2:$D$31,3,FALSE)</f>
        <v>2</v>
      </c>
      <c r="J47" s="156"/>
      <c r="K47" s="109"/>
      <c r="L47" s="172"/>
      <c r="M47" s="116"/>
      <c r="N47" s="109"/>
      <c r="O47" s="23" t="str">
        <f t="shared" si="1"/>
        <v>Замена компенсаторов ГВС и ХВС в подвале.</v>
      </c>
      <c r="R47" s="22" t="s">
        <v>76</v>
      </c>
    </row>
    <row r="48" spans="1:18" ht="51" customHeight="1" outlineLevel="1">
      <c r="A48" s="155" t="str">
        <f>ПТО!A7</f>
        <v>Аварийный ремонт теплообменника отопления в ИТП.</v>
      </c>
      <c r="B48" s="155"/>
      <c r="C48" s="155"/>
      <c r="D48" s="155"/>
      <c r="E48" s="155"/>
      <c r="F48" s="160">
        <f>VLOOKUP(A48,ПТО!$A$2:$D$31,4,FALSE)</f>
        <v>24946.39</v>
      </c>
      <c r="G48" s="160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2"/>
      <c r="M48" s="116"/>
      <c r="N48" s="109"/>
      <c r="O48" s="23" t="str">
        <f t="shared" si="1"/>
        <v>Аварийный ремонт теплообменника отопления в ИТП.</v>
      </c>
      <c r="R48" s="22" t="s">
        <v>76</v>
      </c>
    </row>
    <row r="49" spans="1:18" ht="51" customHeight="1" outlineLevel="1">
      <c r="A49" s="155" t="str">
        <f>ПТО!A8</f>
        <v>Монтаж системы домофон.</v>
      </c>
      <c r="B49" s="155"/>
      <c r="C49" s="155"/>
      <c r="D49" s="155"/>
      <c r="E49" s="155"/>
      <c r="F49" s="160">
        <f>VLOOKUP(A49,ПТО!$A$2:$D$31,4,FALSE)</f>
        <v>11600</v>
      </c>
      <c r="G49" s="160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2"/>
      <c r="M49" s="116"/>
      <c r="N49" s="109"/>
      <c r="O49" s="23" t="str">
        <f t="shared" si="1"/>
        <v>Монтаж системы домофон.</v>
      </c>
      <c r="R49" s="22" t="s">
        <v>76</v>
      </c>
    </row>
    <row r="50" spans="1:18" ht="51" customHeight="1" outlineLevel="1">
      <c r="A50" s="155" t="str">
        <f>ПТО!A9</f>
        <v>Монтаж системы видеонаблюдения.</v>
      </c>
      <c r="B50" s="155"/>
      <c r="C50" s="155"/>
      <c r="D50" s="155"/>
      <c r="E50" s="155"/>
      <c r="F50" s="160">
        <f>VLOOKUP(A50,ПТО!$A$2:$D$31,4,FALSE)</f>
        <v>27009</v>
      </c>
      <c r="G50" s="160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2"/>
      <c r="M50" s="116"/>
      <c r="N50" s="109"/>
      <c r="O50" s="23" t="str">
        <f t="shared" si="1"/>
        <v>Монтаж системы видеонаблюдения.</v>
      </c>
      <c r="R50" s="22" t="s">
        <v>76</v>
      </c>
    </row>
    <row r="51" spans="1:18" ht="51" customHeight="1" outlineLevel="1">
      <c r="A51" s="155" t="str">
        <f>ПТО!A10</f>
        <v>Ремонт прибора учета тепловой энергии.</v>
      </c>
      <c r="B51" s="155"/>
      <c r="C51" s="155"/>
      <c r="D51" s="155"/>
      <c r="E51" s="155"/>
      <c r="F51" s="160">
        <f>VLOOKUP(A51,ПТО!$A$2:$D$31,4,FALSE)</f>
        <v>885</v>
      </c>
      <c r="G51" s="160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2"/>
      <c r="M51" s="116"/>
      <c r="N51" s="109"/>
      <c r="O51" s="23" t="str">
        <f t="shared" si="1"/>
        <v>Ремонт прибора учета тепловой энергии.</v>
      </c>
      <c r="R51" s="22" t="s">
        <v>76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6"/>
      <c r="N52" s="109"/>
      <c r="O52" s="23">
        <f t="shared" si="1"/>
        <v>0</v>
      </c>
      <c r="R52" s="22" t="s">
        <v>76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3" t="s">
        <v>27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1" t="s">
        <v>103</v>
      </c>
    </row>
    <row r="76" spans="1:16384" ht="18.75" customHeight="1" outlineLevel="1">
      <c r="A76" s="173" t="s">
        <v>28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1" t="s">
        <v>104</v>
      </c>
    </row>
    <row r="77" spans="1:16384" ht="21.75" customHeight="1" outlineLevel="1">
      <c r="A77" s="173" t="s">
        <v>29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1" t="s">
        <v>105</v>
      </c>
    </row>
    <row r="78" spans="1:16384" ht="18.75" customHeight="1" outlineLevel="1">
      <c r="A78" s="173" t="s">
        <v>30</v>
      </c>
      <c r="B78" s="173"/>
      <c r="C78" s="173"/>
      <c r="D78" s="173"/>
      <c r="E78" s="173"/>
      <c r="F78" s="173"/>
      <c r="G78" s="173"/>
      <c r="H78" s="173"/>
      <c r="I78" s="173"/>
      <c r="J78" s="98">
        <f>VLOOKUP(O78,АО,3,FALSE)</f>
        <v>0</v>
      </c>
      <c r="K78" s="109"/>
      <c r="L78" s="175"/>
      <c r="M78" s="109"/>
      <c r="N78" s="109"/>
      <c r="O78" s="71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8">
        <f t="shared" ref="J81:J90" si="2">VLOOKUP(O81,АО,3,FALSE)</f>
        <v>0</v>
      </c>
      <c r="K81" s="109"/>
      <c r="L81" s="161"/>
      <c r="M81" s="109"/>
      <c r="N81" s="109"/>
      <c r="O81" s="71" t="s">
        <v>107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8">
        <f t="shared" si="2"/>
        <v>0</v>
      </c>
      <c r="K82" s="109"/>
      <c r="L82" s="161"/>
      <c r="M82" s="109"/>
      <c r="N82" s="109"/>
      <c r="O82" s="71" t="s">
        <v>108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8">
        <f t="shared" si="2"/>
        <v>39186.949999999997</v>
      </c>
      <c r="K83" s="109"/>
      <c r="L83" s="161"/>
      <c r="M83" s="109"/>
      <c r="N83" s="109"/>
      <c r="O83" s="71" t="s">
        <v>109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8">
        <f t="shared" si="2"/>
        <v>0</v>
      </c>
      <c r="K84" s="109"/>
      <c r="L84" s="161"/>
      <c r="M84" s="109"/>
      <c r="N84" s="109"/>
      <c r="O84" s="71" t="s">
        <v>110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8">
        <f t="shared" si="2"/>
        <v>0</v>
      </c>
      <c r="K85" s="109"/>
      <c r="L85" s="161"/>
      <c r="M85" s="109"/>
      <c r="N85" s="109"/>
      <c r="O85" s="71" t="s">
        <v>111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8">
        <f t="shared" si="2"/>
        <v>16289.92</v>
      </c>
      <c r="K86" s="109"/>
      <c r="L86" s="161"/>
      <c r="M86" s="109"/>
      <c r="N86" s="109"/>
      <c r="O86" s="71" t="s">
        <v>112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1" t="s">
        <v>113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1" t="s">
        <v>114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1" t="s">
        <v>115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8">
        <f t="shared" si="2"/>
        <v>0</v>
      </c>
      <c r="K90" s="109"/>
      <c r="L90" s="161"/>
      <c r="M90" s="109"/>
      <c r="N90" s="109"/>
      <c r="O90" s="71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6" t="s">
        <v>48</v>
      </c>
      <c r="B93" s="176"/>
      <c r="C93" s="176"/>
      <c r="D93" s="177" t="s">
        <v>49</v>
      </c>
      <c r="E93" s="177"/>
      <c r="F93" s="10" t="s">
        <v>50</v>
      </c>
      <c r="G93" s="176" t="s">
        <v>51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19818.95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18099.5</v>
      </c>
      <c r="L95" s="162"/>
      <c r="O95" s="1" t="s">
        <v>117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20076.97</v>
      </c>
      <c r="L96" s="162"/>
      <c r="O96" s="1" t="s">
        <v>118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0</v>
      </c>
      <c r="L97" s="162"/>
      <c r="O97" s="1" t="s">
        <v>119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19818.95</v>
      </c>
      <c r="L98" s="162"/>
      <c r="O98" s="1" t="s">
        <v>120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19818.95</v>
      </c>
      <c r="L99" s="162"/>
      <c r="O99" s="1" t="s">
        <v>121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122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123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9">
        <f>VLOOKUP("хвс",АО,5,FALSE)</f>
        <v>35770.21</v>
      </c>
      <c r="H102" s="158"/>
      <c r="I102" s="158"/>
      <c r="J102" s="158"/>
      <c r="L102" s="162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2568.7800000000002</v>
      </c>
      <c r="L103" s="162"/>
      <c r="O103" s="1" t="s">
        <v>126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43267.72</v>
      </c>
      <c r="L104" s="162"/>
      <c r="O104" s="1" t="s">
        <v>127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0</v>
      </c>
      <c r="L105" s="162"/>
      <c r="O105" s="1" t="s">
        <v>128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35770.21</v>
      </c>
      <c r="L106" s="162"/>
      <c r="O106" s="1" t="s">
        <v>129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35770.21</v>
      </c>
      <c r="L107" s="162"/>
      <c r="O107" s="1" t="s">
        <v>130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131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132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9">
        <f>VLOOKUP("воо",АО,5,FALSE)</f>
        <v>66339.210000000006</v>
      </c>
      <c r="H110" s="158"/>
      <c r="I110" s="158"/>
      <c r="J110" s="158"/>
      <c r="L110" s="162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4446.33</v>
      </c>
      <c r="L111" s="162"/>
      <c r="O111" s="1" t="s">
        <v>134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78914.87</v>
      </c>
      <c r="L112" s="162"/>
      <c r="O112" s="1" t="s">
        <v>135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62"/>
      <c r="O113" s="1" t="s">
        <v>136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66339.210000000006</v>
      </c>
      <c r="L114" s="162"/>
      <c r="O114" s="1" t="s">
        <v>137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66339.210000000006</v>
      </c>
      <c r="L115" s="162"/>
      <c r="O115" s="1" t="s">
        <v>138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139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140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9">
        <f>VLOOKUP("тко",АО,5,FALSE)</f>
        <v>29336.71</v>
      </c>
      <c r="H118" s="158"/>
      <c r="I118" s="158"/>
      <c r="J118" s="158"/>
      <c r="L118" s="48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54.29</v>
      </c>
      <c r="L119" s="48"/>
      <c r="O119" s="1" t="s">
        <v>142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27516.39</v>
      </c>
      <c r="L120" s="48"/>
      <c r="O120" s="1" t="s">
        <v>143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1820.3199999999997</v>
      </c>
      <c r="L121" s="48"/>
      <c r="O121" s="1" t="s">
        <v>144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29336.71</v>
      </c>
      <c r="L122" s="48"/>
      <c r="O122" s="1" t="s">
        <v>145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29336.71</v>
      </c>
      <c r="L123" s="48"/>
      <c r="O123" s="1" t="s">
        <v>146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8"/>
      <c r="O125" s="1" t="s">
        <v>148</v>
      </c>
    </row>
    <row r="126" spans="1:15" ht="32.25" customHeight="1" outlineLevel="1">
      <c r="A126" s="157" t="str">
        <f>IF(VLOOKUP("гвс",АО,3,FALSE)&gt;0,"Горячее водоснабжение",0)</f>
        <v>Горячее водоснабжение</v>
      </c>
      <c r="B126" s="157"/>
      <c r="C126" s="157"/>
      <c r="D126" s="158" t="str">
        <f>IF(VLOOKUP("гвс",АО,3,FALSE)&gt;0,VLOOKUP("гвс",АО,3,FALSE),0)</f>
        <v>Предоставляется</v>
      </c>
      <c r="E126" s="158"/>
      <c r="F126" s="13" t="str">
        <f>IF(VLOOKUP("гвс",АО,3,FALSE)&gt;0,VLOOKUP("гвс",АО,4,FALSE),0)</f>
        <v>куб.м.</v>
      </c>
      <c r="G126" s="159">
        <f>VLOOKUP("гвс",АО,5,FALSE)</f>
        <v>26083.84</v>
      </c>
      <c r="H126" s="158"/>
      <c r="I126" s="158"/>
      <c r="J126" s="158"/>
      <c r="L126" s="48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1873.17</v>
      </c>
      <c r="L127" s="48"/>
      <c r="O127" s="1" t="s">
        <v>150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30470</v>
      </c>
      <c r="L128" s="48"/>
      <c r="O128" s="1" t="s">
        <v>151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8"/>
      <c r="O129" s="1" t="s">
        <v>152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26083.84</v>
      </c>
      <c r="L130" s="48"/>
      <c r="O130" s="1" t="s">
        <v>153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26083.84</v>
      </c>
      <c r="L131" s="48"/>
      <c r="O131" s="1" t="s">
        <v>154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8"/>
      <c r="O132" s="1" t="s">
        <v>155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8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174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53" t="s">
        <v>177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176</v>
      </c>
    </row>
    <row r="149" spans="1:15" ht="52.5" customHeight="1">
      <c r="A149" s="178" t="s">
        <v>201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80" t="s">
        <v>71</v>
      </c>
      <c r="B154" s="180"/>
      <c r="C154" s="180"/>
      <c r="D154" s="180"/>
      <c r="E154" s="27">
        <f>ПТО!G1</f>
        <v>-50233.243810085856</v>
      </c>
    </row>
    <row r="155" spans="1:15" ht="34.5" customHeight="1">
      <c r="A155" s="179" t="s">
        <v>72</v>
      </c>
      <c r="B155" s="179"/>
      <c r="C155" s="179"/>
      <c r="D155" s="179"/>
      <c r="E155" s="28">
        <f>J13</f>
        <v>58544.600000000006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5" t="str">
        <f t="shared" ref="A158:A163" si="14">IF(N158&gt;0,N158,0)</f>
        <v>Техническое обслуживание охранной сигнализации.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5400</v>
      </c>
      <c r="G158" s="160"/>
      <c r="H158" s="24" t="str">
        <f t="shared" ref="H158:H187" si="16">VLOOKUP(A158,$A$28:$J$72,8,FALSE)</f>
        <v>ежемесячно</v>
      </c>
      <c r="I158" s="156">
        <f t="shared" ref="I158:I161" si="17">VLOOKUP(A158,$A$28:$J$72,9,FALSE)</f>
        <v>12</v>
      </c>
      <c r="J158" s="156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5" t="str">
        <f t="shared" si="14"/>
        <v>Услуги промышленных альпинистов.</v>
      </c>
      <c r="B159" s="155"/>
      <c r="C159" s="155"/>
      <c r="D159" s="155"/>
      <c r="E159" s="155"/>
      <c r="F159" s="160">
        <f t="shared" si="15"/>
        <v>4000</v>
      </c>
      <c r="G159" s="160"/>
      <c r="H159" s="24" t="str">
        <f t="shared" si="16"/>
        <v>разово</v>
      </c>
      <c r="I159" s="156">
        <f t="shared" si="17"/>
        <v>1</v>
      </c>
      <c r="J159" s="156"/>
      <c r="M159" s="22" t="s">
        <v>76</v>
      </c>
      <c r="N159" s="1" t="str">
        <v>Услуги промышленных альпинистов.</v>
      </c>
    </row>
    <row r="160" spans="1:15" ht="28.5" customHeight="1">
      <c r="A160" s="155" t="str">
        <f t="shared" si="14"/>
        <v>Приобретение и установка железного листа на торец МКД.</v>
      </c>
      <c r="B160" s="155"/>
      <c r="C160" s="155"/>
      <c r="D160" s="155"/>
      <c r="E160" s="155"/>
      <c r="F160" s="160">
        <f t="shared" si="15"/>
        <v>4800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76</v>
      </c>
      <c r="N160" s="1" t="str">
        <v>Приобретение и установка железного листа на торец МКД.</v>
      </c>
    </row>
    <row r="161" spans="1:14" ht="28.5" customHeight="1">
      <c r="A161" s="155" t="str">
        <f>IF(N161&gt;0,N161,0)</f>
        <v>Приобретение и установка циркуляционного насоса системы ГВС.</v>
      </c>
      <c r="B161" s="155"/>
      <c r="C161" s="155"/>
      <c r="D161" s="155"/>
      <c r="E161" s="155"/>
      <c r="F161" s="160">
        <f t="shared" si="15"/>
        <v>6000</v>
      </c>
      <c r="G161" s="160"/>
      <c r="H161" s="24" t="str">
        <f t="shared" si="16"/>
        <v>разово</v>
      </c>
      <c r="I161" s="156">
        <f t="shared" si="17"/>
        <v>1</v>
      </c>
      <c r="J161" s="156"/>
      <c r="M161" s="22" t="s">
        <v>76</v>
      </c>
      <c r="N161" s="1" t="str">
        <v>Приобретение и установка циркуляционного насоса системы ГВС.</v>
      </c>
    </row>
    <row r="162" spans="1:14" ht="28.5" customHeight="1">
      <c r="A162" s="155" t="str">
        <f t="shared" si="14"/>
        <v>Замена компенсаторов ГВС и ХВС в подвале.</v>
      </c>
      <c r="B162" s="155"/>
      <c r="C162" s="155"/>
      <c r="D162" s="155"/>
      <c r="E162" s="155"/>
      <c r="F162" s="160">
        <f t="shared" si="15"/>
        <v>3500</v>
      </c>
      <c r="G162" s="160"/>
      <c r="H162" s="24" t="str">
        <f t="shared" si="16"/>
        <v>разово</v>
      </c>
      <c r="I162" s="156">
        <f>VLOOKUP(A162,$A$28:$J$72,9,FALSE)</f>
        <v>2</v>
      </c>
      <c r="J162" s="156"/>
      <c r="M162" s="22" t="s">
        <v>76</v>
      </c>
      <c r="N162" s="1" t="str">
        <v>Замена компенсаторов ГВС и ХВС в подвале.</v>
      </c>
    </row>
    <row r="163" spans="1:14" ht="28.5" customHeight="1">
      <c r="A163" s="155" t="str">
        <f t="shared" si="14"/>
        <v>Аварийный ремонт теплообменника отопления в ИТП.</v>
      </c>
      <c r="B163" s="155"/>
      <c r="C163" s="155"/>
      <c r="D163" s="155"/>
      <c r="E163" s="155"/>
      <c r="F163" s="160">
        <f t="shared" si="15"/>
        <v>24946.39</v>
      </c>
      <c r="G163" s="160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76</v>
      </c>
      <c r="N163" s="1" t="str">
        <v>Аварийный ремонт теплообменника отопления в ИТП.</v>
      </c>
    </row>
    <row r="164" spans="1:14" ht="28.5" customHeight="1">
      <c r="A164" s="155" t="str">
        <f t="shared" ref="A164:A187" si="18">IF(N164&gt;0,N164,0)</f>
        <v>Монтаж системы домофон.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11600</v>
      </c>
      <c r="G164" s="160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76</v>
      </c>
      <c r="N164" s="1" t="str">
        <v>Монтаж системы домофон.</v>
      </c>
    </row>
    <row r="165" spans="1:14" ht="28.5" customHeight="1">
      <c r="A165" s="155" t="str">
        <f t="shared" si="18"/>
        <v>Монтаж системы видеонаблюдения.</v>
      </c>
      <c r="B165" s="155"/>
      <c r="C165" s="155"/>
      <c r="D165" s="155"/>
      <c r="E165" s="155"/>
      <c r="F165" s="160">
        <f t="shared" si="19"/>
        <v>27009</v>
      </c>
      <c r="G165" s="160"/>
      <c r="H165" s="29" t="str">
        <f t="shared" si="16"/>
        <v>разово</v>
      </c>
      <c r="I165" s="156">
        <f t="shared" si="20"/>
        <v>1</v>
      </c>
      <c r="J165" s="156"/>
      <c r="M165" s="22" t="s">
        <v>76</v>
      </c>
      <c r="N165" s="1" t="str">
        <v>Монтаж системы видеонаблюдения.</v>
      </c>
    </row>
    <row r="166" spans="1:14" ht="28.5" customHeight="1">
      <c r="A166" s="155" t="str">
        <f t="shared" si="18"/>
        <v>Ремонт прибора учета тепловой энергии.</v>
      </c>
      <c r="B166" s="155"/>
      <c r="C166" s="155"/>
      <c r="D166" s="155"/>
      <c r="E166" s="155"/>
      <c r="F166" s="160">
        <f t="shared" si="19"/>
        <v>885</v>
      </c>
      <c r="G166" s="160"/>
      <c r="H166" s="29" t="str">
        <f t="shared" si="16"/>
        <v>разово</v>
      </c>
      <c r="I166" s="156">
        <f t="shared" si="20"/>
        <v>1</v>
      </c>
      <c r="J166" s="156"/>
      <c r="M166" s="22" t="s">
        <v>76</v>
      </c>
      <c r="N166" s="1" t="str">
        <v>Ремонт прибора учета тепловой энергии.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76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76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76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76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76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76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76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76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76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76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76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76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76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76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76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76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76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76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76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76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76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80" t="s">
        <v>73</v>
      </c>
      <c r="B190" s="180"/>
      <c r="C190" s="180"/>
      <c r="D190" s="180"/>
      <c r="E190" s="27">
        <f>SUM(F158:G187)</f>
        <v>88140.39</v>
      </c>
    </row>
    <row r="191" spans="1:14" ht="51.75" customHeight="1">
      <c r="A191" s="180" t="s">
        <v>74</v>
      </c>
      <c r="B191" s="180"/>
      <c r="C191" s="180"/>
      <c r="D191" s="180"/>
      <c r="E191" s="27">
        <f>E190+E154-E155</f>
        <v>-20637.453810085863</v>
      </c>
    </row>
    <row r="192" spans="1:14">
      <c r="A192" s="104" t="s">
        <v>178</v>
      </c>
    </row>
    <row r="193" spans="1:10" ht="62.25" customHeight="1">
      <c r="A193" s="154" t="s">
        <v>77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>
      <c r="A194" s="152" t="str">
        <f>ПТО!F12</f>
        <v xml:space="preserve">  -  поверка (замена) манометров и термометров</v>
      </c>
      <c r="B194" s="152"/>
      <c r="C194" s="152"/>
      <c r="D194" s="152"/>
      <c r="E194" s="152"/>
      <c r="F194" s="152"/>
      <c r="G194" s="152"/>
      <c r="H194" s="50">
        <f>ПТО!G12</f>
        <v>1200</v>
      </c>
      <c r="I194" s="51" t="s">
        <v>79</v>
      </c>
    </row>
    <row r="195" spans="1:10" ht="18.75" customHeight="1">
      <c r="A195" s="152" t="str">
        <f>ПТО!F13</f>
        <v xml:space="preserve">  -  техническое обслуживание охранной сигнализации</v>
      </c>
      <c r="B195" s="152"/>
      <c r="C195" s="152"/>
      <c r="D195" s="152"/>
      <c r="E195" s="152"/>
      <c r="F195" s="152"/>
      <c r="G195" s="152"/>
      <c r="H195" s="50">
        <f>ПТО!G13</f>
        <v>5400</v>
      </c>
      <c r="I195" s="51" t="s">
        <v>79</v>
      </c>
    </row>
    <row r="196" spans="1:10" ht="18.75" customHeight="1">
      <c r="A196" s="152" t="str">
        <f>ПТО!F14</f>
        <v xml:space="preserve">  -  ремонт теплообменника ГВС</v>
      </c>
      <c r="B196" s="152"/>
      <c r="C196" s="152"/>
      <c r="D196" s="152"/>
      <c r="E196" s="152"/>
      <c r="F196" s="152"/>
      <c r="G196" s="152"/>
      <c r="H196" s="50">
        <f>ПТО!G14</f>
        <v>20000</v>
      </c>
      <c r="I196" s="51" t="s">
        <v>79</v>
      </c>
    </row>
    <row r="197" spans="1:10" ht="33" customHeight="1">
      <c r="A197" s="152" t="str">
        <f>ПТО!F15</f>
        <v xml:space="preserve">  -  работы по выбору (решению) общего собрания или совета дома</v>
      </c>
      <c r="B197" s="152"/>
      <c r="C197" s="152"/>
      <c r="D197" s="152"/>
      <c r="E197" s="152"/>
      <c r="F197" s="152"/>
      <c r="G197" s="152"/>
      <c r="H197" s="50">
        <f>ПТО!G15</f>
        <v>68000</v>
      </c>
      <c r="I197" s="51" t="s">
        <v>79</v>
      </c>
    </row>
    <row r="198" spans="1:10" ht="18.75" hidden="1" customHeight="1">
      <c r="A198" s="152">
        <f>ПТО!F16</f>
        <v>0</v>
      </c>
      <c r="B198" s="152"/>
      <c r="C198" s="152"/>
      <c r="D198" s="152"/>
      <c r="E198" s="152"/>
      <c r="F198" s="152"/>
      <c r="G198" s="152"/>
      <c r="H198" s="50">
        <f>ПТО!G16</f>
        <v>0</v>
      </c>
      <c r="I198" s="53" t="s">
        <v>79</v>
      </c>
    </row>
    <row r="199" spans="1:10" ht="18.75" hidden="1" customHeight="1">
      <c r="A199" s="152">
        <f>ПТО!F17</f>
        <v>0</v>
      </c>
      <c r="B199" s="152"/>
      <c r="C199" s="152"/>
      <c r="D199" s="152"/>
      <c r="E199" s="152"/>
      <c r="F199" s="152"/>
      <c r="G199" s="152"/>
      <c r="H199" s="50">
        <f>ПТО!G17</f>
        <v>0</v>
      </c>
      <c r="I199" s="51" t="s">
        <v>79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50">
        <f>ПТО!G18</f>
        <v>0</v>
      </c>
      <c r="I200" s="51" t="s">
        <v>79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50">
        <f>ПТО!G19</f>
        <v>0</v>
      </c>
      <c r="I201" s="51" t="s">
        <v>79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50">
        <f>ПТО!G20</f>
        <v>0</v>
      </c>
      <c r="I202" s="51" t="s">
        <v>79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50">
        <f>ПТО!G21</f>
        <v>0</v>
      </c>
      <c r="I203" s="51" t="s">
        <v>79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50">
        <f>ПТО!G22</f>
        <v>0</v>
      </c>
      <c r="I204" s="51" t="s">
        <v>79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50">
        <f>ПТО!G23</f>
        <v>0</v>
      </c>
      <c r="I205" s="51" t="s">
        <v>79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50">
        <f>ПТО!G24</f>
        <v>0</v>
      </c>
      <c r="I206" s="51" t="s">
        <v>79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50">
        <f>ПТО!G25</f>
        <v>0</v>
      </c>
      <c r="I207" s="51" t="s">
        <v>79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50">
        <f>ПТО!G26</f>
        <v>0</v>
      </c>
      <c r="I208" s="51" t="s">
        <v>79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50">
        <f>ПТО!G27</f>
        <v>0</v>
      </c>
      <c r="I209" s="51" t="s">
        <v>79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50">
        <f>ПТО!G28</f>
        <v>0</v>
      </c>
      <c r="I210" s="51" t="s">
        <v>79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50">
        <f>ПТО!G29</f>
        <v>0</v>
      </c>
      <c r="I211" s="51" t="s">
        <v>79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50">
        <f>ПТО!G30</f>
        <v>0</v>
      </c>
      <c r="I212" s="51" t="s">
        <v>79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94600</v>
      </c>
      <c r="I214" s="57" t="s">
        <v>81</v>
      </c>
    </row>
    <row r="215" spans="1:9" ht="12.75" customHeight="1"/>
  </sheetData>
  <sheetProtection algorithmName="SHA-512" hashValue="33/3SP8zio38aNfhPdvzfj5UgnaFkTS/5DA+ctCwMINXvCMSG9n9FM6u7XvfX5XOwV3gnxfsnBDFn3r+BL5Ucw==" saltValue="QFj1n67WaXf4Po84CSO8K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D40" sqref="D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27">
        <v>-50233.243810085856</v>
      </c>
    </row>
    <row r="2" spans="1:12" ht="18.75" customHeight="1">
      <c r="A2" s="118" t="s">
        <v>199</v>
      </c>
      <c r="B2" s="121" t="s">
        <v>183</v>
      </c>
      <c r="C2" s="121">
        <v>12</v>
      </c>
      <c r="D2" s="120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180</v>
      </c>
      <c r="B3" s="124" t="s">
        <v>184</v>
      </c>
      <c r="C3" s="122">
        <v>1</v>
      </c>
      <c r="D3" s="119">
        <v>4000</v>
      </c>
      <c r="E3" s="129" t="s">
        <v>185</v>
      </c>
      <c r="F3" s="30"/>
      <c r="G3" s="30"/>
      <c r="L3" s="33" t="str">
        <f t="shared" si="0"/>
        <v>ТР</v>
      </c>
    </row>
    <row r="4" spans="1:12" ht="18.75" customHeight="1">
      <c r="A4" s="151" t="s">
        <v>205</v>
      </c>
      <c r="B4" s="123" t="s">
        <v>184</v>
      </c>
      <c r="C4" s="123">
        <v>1</v>
      </c>
      <c r="D4" s="120">
        <v>4800</v>
      </c>
      <c r="E4" s="128" t="s">
        <v>186</v>
      </c>
      <c r="F4" s="30"/>
      <c r="G4" s="30"/>
      <c r="L4" s="33" t="str">
        <f t="shared" si="0"/>
        <v>ТР</v>
      </c>
    </row>
    <row r="5" spans="1:12" ht="18.75" customHeight="1">
      <c r="A5" s="125" t="s">
        <v>181</v>
      </c>
      <c r="B5" s="124" t="s">
        <v>184</v>
      </c>
      <c r="C5" s="124">
        <v>1</v>
      </c>
      <c r="D5" s="119">
        <v>6000</v>
      </c>
      <c r="E5" s="128" t="s">
        <v>187</v>
      </c>
      <c r="F5" s="45"/>
      <c r="G5" s="45"/>
      <c r="K5" s="47"/>
      <c r="L5" s="33" t="str">
        <f t="shared" si="0"/>
        <v>ТР</v>
      </c>
    </row>
    <row r="6" spans="1:12" ht="18.75" customHeight="1">
      <c r="A6" s="126" t="s">
        <v>182</v>
      </c>
      <c r="B6" s="123" t="s">
        <v>184</v>
      </c>
      <c r="C6" s="123">
        <v>2</v>
      </c>
      <c r="D6" s="120">
        <v>3500</v>
      </c>
      <c r="E6" s="128" t="s">
        <v>188</v>
      </c>
      <c r="F6" s="45"/>
      <c r="G6" s="45"/>
      <c r="K6" s="47"/>
      <c r="L6" s="33" t="str">
        <f t="shared" si="0"/>
        <v>ТР</v>
      </c>
    </row>
    <row r="7" spans="1:12" ht="18.75" customHeight="1">
      <c r="A7" s="134" t="s">
        <v>190</v>
      </c>
      <c r="B7" s="135" t="s">
        <v>184</v>
      </c>
      <c r="C7" s="132">
        <v>1</v>
      </c>
      <c r="D7" s="133">
        <v>24946.39</v>
      </c>
      <c r="E7" s="134" t="s">
        <v>191</v>
      </c>
      <c r="F7" s="46"/>
      <c r="G7" s="46"/>
      <c r="K7" s="47"/>
      <c r="L7" s="33" t="str">
        <f t="shared" si="0"/>
        <v>ТР</v>
      </c>
    </row>
    <row r="8" spans="1:12" ht="18.75" customHeight="1">
      <c r="A8" s="136" t="s">
        <v>192</v>
      </c>
      <c r="B8" s="137" t="s">
        <v>184</v>
      </c>
      <c r="C8" s="43">
        <v>1</v>
      </c>
      <c r="D8" s="44">
        <v>11600</v>
      </c>
      <c r="E8" s="138" t="s">
        <v>193</v>
      </c>
      <c r="F8" s="46"/>
      <c r="G8" s="46"/>
      <c r="K8" s="44"/>
      <c r="L8" s="33" t="str">
        <f t="shared" si="0"/>
        <v>ТР</v>
      </c>
    </row>
    <row r="9" spans="1:12">
      <c r="A9" s="139" t="s">
        <v>194</v>
      </c>
      <c r="B9" s="140" t="s">
        <v>184</v>
      </c>
      <c r="C9" s="141">
        <v>1</v>
      </c>
      <c r="D9" s="142">
        <v>27009</v>
      </c>
      <c r="E9" s="139" t="s">
        <v>195</v>
      </c>
      <c r="F9" s="45"/>
      <c r="G9" s="45"/>
      <c r="K9" s="44"/>
      <c r="L9" s="33" t="str">
        <f t="shared" si="0"/>
        <v>ТР</v>
      </c>
    </row>
    <row r="10" spans="1:12">
      <c r="A10" s="146" t="s">
        <v>197</v>
      </c>
      <c r="B10" s="147" t="s">
        <v>184</v>
      </c>
      <c r="C10" s="148">
        <v>1</v>
      </c>
      <c r="D10" s="149">
        <v>885</v>
      </c>
      <c r="E10" s="150" t="s">
        <v>198</v>
      </c>
      <c r="L10" s="33" t="str">
        <f t="shared" si="0"/>
        <v>ТР</v>
      </c>
    </row>
    <row r="11" spans="1:12" ht="94.5">
      <c r="A11" s="30"/>
      <c r="F11" s="111" t="s">
        <v>77</v>
      </c>
      <c r="G11" s="111"/>
      <c r="L11" s="33">
        <f t="shared" si="0"/>
        <v>0</v>
      </c>
    </row>
    <row r="12" spans="1:12" ht="31.5">
      <c r="A12" s="30"/>
      <c r="F12" s="112" t="s">
        <v>78</v>
      </c>
      <c r="G12" s="113">
        <v>1200</v>
      </c>
      <c r="L12" s="33">
        <f t="shared" si="0"/>
        <v>0</v>
      </c>
    </row>
    <row r="13" spans="1:12" ht="31.5">
      <c r="A13" s="30"/>
      <c r="F13" s="112" t="s">
        <v>200</v>
      </c>
      <c r="G13" s="113">
        <v>5400</v>
      </c>
      <c r="L13" s="33">
        <f t="shared" si="0"/>
        <v>0</v>
      </c>
    </row>
    <row r="14" spans="1:12" ht="15.75">
      <c r="A14" s="30"/>
      <c r="F14" s="112" t="s">
        <v>202</v>
      </c>
      <c r="G14" s="113">
        <v>20000</v>
      </c>
      <c r="L14" s="33">
        <f t="shared" si="0"/>
        <v>0</v>
      </c>
    </row>
    <row r="15" spans="1:12" ht="31.5">
      <c r="A15" s="30"/>
      <c r="F15" s="112" t="s">
        <v>204</v>
      </c>
      <c r="G15" s="113">
        <v>68000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45537.22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45537.22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203</v>
      </c>
      <c r="B40" s="38">
        <v>68340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29169.79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29169.79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16401.599999999999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16401.599999999999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28759.75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28759.75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F+5BslJBJ8Ir7obdTGFM4dKC/uzcRKDB6FUi8orFFlSlgUTroi+sw+yxgDlQs506w6Hjtsh91v3ylS314AlXRQ==" saltValue="Rpk6HFKjFPnvOwivMyyz4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2" ht="15.75">
      <c r="A1" s="71"/>
      <c r="B1" s="72" t="s">
        <v>33</v>
      </c>
      <c r="E1" s="61" t="s">
        <v>189</v>
      </c>
      <c r="F1" s="61">
        <v>1139</v>
      </c>
      <c r="G1" s="143"/>
      <c r="H1" s="143"/>
      <c r="I1" s="143"/>
      <c r="J1" s="143"/>
      <c r="K1" s="143"/>
      <c r="L1" s="143"/>
    </row>
    <row r="2" spans="1:12" ht="15.75" customHeight="1">
      <c r="A2" s="71" t="s">
        <v>86</v>
      </c>
      <c r="B2" s="73" t="s">
        <v>2</v>
      </c>
      <c r="C2" s="84">
        <v>0</v>
      </c>
      <c r="D2" s="82" t="s">
        <v>58</v>
      </c>
      <c r="E2" s="130">
        <v>5.45</v>
      </c>
      <c r="F2" s="131" t="s">
        <v>196</v>
      </c>
      <c r="G2" s="144"/>
      <c r="H2" s="144"/>
      <c r="I2" s="144"/>
      <c r="J2" s="144"/>
      <c r="K2" s="145"/>
      <c r="L2" s="145"/>
    </row>
    <row r="3" spans="1:12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2" ht="15.75" customHeight="1">
      <c r="A4" s="71" t="s">
        <v>88</v>
      </c>
      <c r="B4" s="73" t="s">
        <v>4</v>
      </c>
      <c r="C4" s="84">
        <v>135453.57999999999</v>
      </c>
      <c r="D4" s="82" t="s">
        <v>60</v>
      </c>
      <c r="E4" s="62"/>
      <c r="F4" s="62"/>
      <c r="G4" s="62"/>
      <c r="H4" s="62"/>
      <c r="I4" s="62"/>
      <c r="J4" s="62"/>
    </row>
    <row r="5" spans="1:12" ht="15.75" customHeight="1">
      <c r="A5" s="71" t="s">
        <v>89</v>
      </c>
      <c r="B5" s="73" t="s">
        <v>5</v>
      </c>
      <c r="C5" s="80">
        <f>SUM(C6:C8)</f>
        <v>259206.02</v>
      </c>
      <c r="D5" s="81" t="s">
        <v>59</v>
      </c>
      <c r="E5" s="62"/>
      <c r="F5" s="62"/>
      <c r="G5" s="62"/>
      <c r="H5" s="62"/>
      <c r="I5" s="62"/>
      <c r="J5" s="62"/>
    </row>
    <row r="6" spans="1:12" ht="15.75" customHeight="1">
      <c r="A6" s="71" t="s">
        <v>90</v>
      </c>
      <c r="B6" s="73" t="s">
        <v>6</v>
      </c>
      <c r="C6" s="84">
        <v>172164.9</v>
      </c>
      <c r="D6" s="82" t="s">
        <v>61</v>
      </c>
      <c r="E6" s="62"/>
      <c r="F6" s="62"/>
      <c r="G6" s="62"/>
      <c r="H6" s="62"/>
      <c r="I6" s="62"/>
      <c r="J6" s="62"/>
    </row>
    <row r="7" spans="1:12" ht="15.75" customHeight="1">
      <c r="A7" s="71" t="s">
        <v>91</v>
      </c>
      <c r="B7" s="73" t="s">
        <v>7</v>
      </c>
      <c r="C7" s="84">
        <f>(F1*3.45*7)+(F1*5.45*5)</f>
        <v>58544.600000000006</v>
      </c>
      <c r="D7" s="82" t="s">
        <v>62</v>
      </c>
      <c r="E7" s="62"/>
      <c r="F7" s="62"/>
      <c r="G7" s="62"/>
      <c r="H7" s="62"/>
      <c r="I7" s="62"/>
      <c r="J7" s="62"/>
    </row>
    <row r="8" spans="1:12" ht="15.75" customHeight="1">
      <c r="A8" s="71" t="s">
        <v>92</v>
      </c>
      <c r="B8" s="73" t="s">
        <v>8</v>
      </c>
      <c r="C8" s="84">
        <v>28496.52</v>
      </c>
      <c r="D8" s="82" t="s">
        <v>63</v>
      </c>
      <c r="E8" s="62"/>
      <c r="F8" s="62"/>
      <c r="G8" s="62"/>
      <c r="H8" s="62"/>
      <c r="I8" s="62"/>
      <c r="J8" s="62"/>
    </row>
    <row r="9" spans="1:12" ht="15.75" customHeight="1">
      <c r="A9" s="71" t="s">
        <v>93</v>
      </c>
      <c r="B9" s="73" t="s">
        <v>9</v>
      </c>
      <c r="C9" s="80">
        <f>SUM(C10:C14)</f>
        <v>296243.36</v>
      </c>
      <c r="D9" s="81" t="s">
        <v>59</v>
      </c>
      <c r="E9" s="62"/>
      <c r="F9" s="62"/>
      <c r="G9" s="62"/>
      <c r="H9" s="62"/>
      <c r="I9" s="62"/>
      <c r="J9" s="62"/>
    </row>
    <row r="10" spans="1:12" ht="15.75" customHeight="1">
      <c r="A10" s="71" t="s">
        <v>94</v>
      </c>
      <c r="B10" s="73" t="s">
        <v>10</v>
      </c>
      <c r="C10" s="84">
        <v>296243.36</v>
      </c>
      <c r="D10" s="82" t="s">
        <v>64</v>
      </c>
      <c r="E10" s="62"/>
      <c r="F10" s="62"/>
      <c r="G10" s="62"/>
      <c r="H10" s="62"/>
      <c r="I10" s="62"/>
      <c r="J10" s="62"/>
    </row>
    <row r="11" spans="1:12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2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2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2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2" ht="15.75" customHeight="1">
      <c r="A15" s="71" t="s">
        <v>99</v>
      </c>
      <c r="B15" s="73" t="s">
        <v>15</v>
      </c>
      <c r="C15" s="80">
        <f>C9</f>
        <v>296243.36</v>
      </c>
      <c r="D15" s="81" t="s">
        <v>59</v>
      </c>
      <c r="E15" s="62"/>
      <c r="F15" s="62"/>
      <c r="G15" s="62"/>
      <c r="H15" s="62"/>
      <c r="I15" s="62"/>
      <c r="J15" s="62"/>
    </row>
    <row r="16" spans="1:12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98416.239999999991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3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3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3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3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2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2"/>
      <c r="N26" s="64"/>
    </row>
    <row r="27" spans="1:15" ht="18.75" customHeight="1">
      <c r="A27" s="71" t="s">
        <v>109</v>
      </c>
      <c r="B27" s="76" t="s">
        <v>4</v>
      </c>
      <c r="C27" s="87">
        <v>39186.949999999997</v>
      </c>
      <c r="D27" s="82" t="s">
        <v>60</v>
      </c>
      <c r="E27" s="65"/>
      <c r="F27" s="65"/>
      <c r="G27" s="65"/>
      <c r="H27" s="65"/>
      <c r="I27" s="65"/>
      <c r="J27" s="65"/>
      <c r="M27" s="182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2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2"/>
      <c r="N29" s="64"/>
    </row>
    <row r="30" spans="1:15" ht="18.75" customHeight="1">
      <c r="A30" s="71" t="s">
        <v>112</v>
      </c>
      <c r="B30" s="76" t="s">
        <v>18</v>
      </c>
      <c r="C30" s="87">
        <v>16289.92</v>
      </c>
      <c r="D30" s="82" t="s">
        <v>66</v>
      </c>
      <c r="E30" s="65"/>
      <c r="F30" s="65"/>
      <c r="G30" s="65"/>
      <c r="H30" s="65"/>
      <c r="I30" s="65"/>
      <c r="J30" s="65"/>
      <c r="M30" s="182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2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2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2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2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19818.95</v>
      </c>
      <c r="F37" s="95" t="s">
        <v>171</v>
      </c>
      <c r="G37" s="67"/>
      <c r="H37" s="67"/>
      <c r="I37" s="67"/>
      <c r="L37" s="64"/>
      <c r="M37" s="181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18099.5</v>
      </c>
      <c r="D38" s="95" t="s">
        <v>169</v>
      </c>
      <c r="E38" s="69"/>
      <c r="G38" s="68"/>
      <c r="H38" s="68"/>
      <c r="L38" s="64"/>
      <c r="M38" s="181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20076.97</v>
      </c>
      <c r="D39" s="95" t="s">
        <v>170</v>
      </c>
      <c r="E39" s="69"/>
      <c r="G39" s="68"/>
      <c r="H39" s="68"/>
      <c r="L39" s="64"/>
      <c r="M39" s="181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1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19818.95</v>
      </c>
      <c r="D41" s="81" t="s">
        <v>59</v>
      </c>
      <c r="E41" s="69"/>
      <c r="G41" s="68"/>
      <c r="H41" s="68"/>
      <c r="L41" s="64"/>
      <c r="M41" s="181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19818.95</v>
      </c>
      <c r="D42" s="81" t="s">
        <v>59</v>
      </c>
      <c r="E42" s="69"/>
      <c r="G42" s="68"/>
      <c r="H42" s="68"/>
      <c r="L42" s="64"/>
      <c r="M42" s="181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1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1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35770.21</v>
      </c>
      <c r="F45" s="95" t="s">
        <v>171</v>
      </c>
      <c r="G45" s="67"/>
      <c r="H45" s="67"/>
      <c r="L45" s="64"/>
      <c r="M45" s="181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2568.7800000000002</v>
      </c>
      <c r="D46" s="95" t="s">
        <v>172</v>
      </c>
      <c r="E46" s="69"/>
      <c r="G46" s="68"/>
      <c r="H46" s="68"/>
      <c r="L46" s="64"/>
      <c r="M46" s="181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43267.72</v>
      </c>
      <c r="D47" s="95" t="s">
        <v>170</v>
      </c>
      <c r="E47" s="69"/>
      <c r="G47" s="68"/>
      <c r="H47" s="68"/>
      <c r="L47" s="64"/>
      <c r="M47" s="181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1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35770.21</v>
      </c>
      <c r="D49" s="81" t="s">
        <v>59</v>
      </c>
      <c r="E49" s="69"/>
      <c r="G49" s="68"/>
      <c r="H49" s="68"/>
      <c r="L49" s="64"/>
      <c r="M49" s="181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35770.21</v>
      </c>
      <c r="D50" s="81" t="s">
        <v>59</v>
      </c>
      <c r="E50" s="69"/>
      <c r="G50" s="68"/>
      <c r="H50" s="68"/>
      <c r="L50" s="64"/>
      <c r="M50" s="181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1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1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66339.210000000006</v>
      </c>
      <c r="F53" s="95" t="s">
        <v>171</v>
      </c>
      <c r="G53" s="67"/>
      <c r="H53" s="67"/>
      <c r="L53" s="64"/>
      <c r="M53" s="181"/>
      <c r="N53" s="64"/>
      <c r="O53" s="64"/>
    </row>
    <row r="54" spans="1:15" ht="18.75" customHeight="1">
      <c r="A54" s="74" t="s">
        <v>134</v>
      </c>
      <c r="B54" s="76" t="s">
        <v>37</v>
      </c>
      <c r="C54" s="99">
        <v>4446.33</v>
      </c>
      <c r="D54" s="95" t="s">
        <v>172</v>
      </c>
      <c r="E54" s="70"/>
      <c r="F54" s="90"/>
      <c r="G54" s="65"/>
      <c r="H54" s="65"/>
      <c r="L54" s="64"/>
      <c r="M54" s="181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78914.87</v>
      </c>
      <c r="D55" s="95" t="s">
        <v>170</v>
      </c>
      <c r="E55" s="70"/>
      <c r="G55" s="65"/>
      <c r="H55" s="65"/>
      <c r="L55" s="64"/>
      <c r="M55" s="181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1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66339.210000000006</v>
      </c>
      <c r="D57" s="81" t="s">
        <v>59</v>
      </c>
      <c r="E57" s="70"/>
      <c r="G57" s="65"/>
      <c r="H57" s="65"/>
      <c r="L57" s="64"/>
      <c r="M57" s="181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66339.210000000006</v>
      </c>
      <c r="D58" s="81" t="s">
        <v>59</v>
      </c>
      <c r="E58" s="70"/>
      <c r="G58" s="65"/>
      <c r="H58" s="65"/>
      <c r="L58" s="64"/>
      <c r="M58" s="181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1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1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29336.71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99">
        <v>54.29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27516.39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1820.3199999999997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29336.71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29336.71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26083.84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99">
        <v>1873.17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30470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26083.84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26083.84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99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CF+t1E2KLjCQ5uOdEhlfH/K90QOxUprqI9W+4Z8ozMWYtt8/PZjs+uLdF8zPntgwHrRwh2CMOboB5PNi4Jur2Q==" saltValue="HCVe5YDS2mNvkbFqh9c8r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2020-03-19T05:42:12Z</dcterms:modified>
</cp:coreProperties>
</file>