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L5" i="2" l="1"/>
  <c r="L6" i="2"/>
  <c r="F66" i="2" l="1"/>
  <c r="F63" i="2"/>
  <c r="F59" i="2"/>
  <c r="I66" i="2"/>
  <c r="I63" i="2"/>
  <c r="I59" i="2"/>
  <c r="I53" i="2"/>
  <c r="I54" i="2" s="1"/>
  <c r="I55" i="2" s="1"/>
  <c r="H66" i="2"/>
  <c r="H63" i="2"/>
  <c r="H64" i="2" s="1"/>
  <c r="H65" i="2" s="1"/>
  <c r="H59" i="2"/>
  <c r="H53" i="2"/>
  <c r="H54" i="2" s="1"/>
  <c r="I60" i="2" l="1"/>
  <c r="I61" i="2" s="1"/>
  <c r="I67" i="2"/>
  <c r="I68" i="2" s="1"/>
  <c r="H67" i="2"/>
  <c r="H68" i="2" s="1"/>
  <c r="I64" i="2"/>
  <c r="I65" i="2" s="1"/>
  <c r="H60" i="2"/>
  <c r="H61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F102" i="1"/>
  <c r="J101" i="1"/>
  <c r="J96" i="1"/>
  <c r="J95" i="1"/>
  <c r="A97" i="1"/>
  <c r="G94" i="1"/>
  <c r="F94" i="1"/>
  <c r="K94" i="1"/>
  <c r="A105" i="1" l="1"/>
  <c r="A109" i="1"/>
  <c r="A115" i="1"/>
  <c r="A118" i="1"/>
  <c r="A122" i="1"/>
  <c r="A121" i="1"/>
  <c r="F118" i="1"/>
  <c r="A110" i="1"/>
  <c r="F110" i="1"/>
  <c r="A114" i="1"/>
  <c r="A111" i="1"/>
  <c r="A117" i="1"/>
  <c r="D110" i="1"/>
  <c r="A113" i="1"/>
  <c r="A141" i="1"/>
  <c r="A94" i="1"/>
  <c r="A95" i="1"/>
  <c r="A100" i="1"/>
  <c r="A123" i="1"/>
  <c r="A99" i="1"/>
  <c r="F134" i="1"/>
  <c r="D94" i="1"/>
  <c r="A96" i="1"/>
  <c r="A101" i="1"/>
  <c r="A112" i="1"/>
  <c r="A119" i="1"/>
  <c r="A125" i="1"/>
  <c r="A137" i="1"/>
  <c r="A106" i="1"/>
  <c r="A138" i="1"/>
  <c r="A102" i="1"/>
  <c r="A107" i="1"/>
  <c r="A134" i="1"/>
  <c r="A135" i="1"/>
  <c r="A139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67" i="1"/>
  <c r="F167" i="1"/>
  <c r="F180" i="1"/>
  <c r="H169" i="1"/>
  <c r="H172" i="1"/>
  <c r="H180" i="1"/>
  <c r="F173" i="1"/>
  <c r="H187" i="1"/>
  <c r="F181" i="1"/>
  <c r="H181" i="1"/>
  <c r="F179" i="1"/>
  <c r="H178" i="1"/>
  <c r="F178" i="1"/>
  <c r="H177" i="1"/>
  <c r="F177" i="1"/>
  <c r="H174" i="1"/>
  <c r="H173" i="1"/>
  <c r="F171" i="1"/>
  <c r="H171" i="1"/>
  <c r="F169" i="1"/>
  <c r="F168" i="1"/>
  <c r="H168" i="1"/>
  <c r="H166" i="1"/>
  <c r="H165" i="1"/>
  <c r="H164" i="1"/>
  <c r="F164" i="1"/>
  <c r="F165" i="1"/>
  <c r="F170" i="1"/>
  <c r="H170" i="1"/>
  <c r="H183" i="1"/>
  <c r="F185" i="1"/>
  <c r="F187" i="1"/>
  <c r="F175" i="1"/>
  <c r="H185" i="1"/>
  <c r="H184" i="1"/>
  <c r="F166" i="1"/>
  <c r="F182" i="1"/>
  <c r="H182" i="1"/>
  <c r="F174" i="1"/>
  <c r="H175" i="1"/>
  <c r="F183" i="1"/>
  <c r="F184" i="1"/>
  <c r="F176" i="1"/>
  <c r="F186" i="1"/>
  <c r="H179" i="1"/>
  <c r="H176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<sst xmlns="http://schemas.openxmlformats.org/spreadsheetml/2006/main" count="558" uniqueCount="207">
  <si>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</si>
  <si>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</si>
  <si>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</si>
  <si>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</si>
  <si>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</si>
  <si>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</si>
  <si>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</si>
  <si>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</si>
  <si>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</si>
  <si>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</si>
  <si>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</si>
  <si>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</si>
  <si>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</si>
  <si>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</si>
  <si>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</si>
  <si>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</si>
  <si>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</si>
  <si>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</si>
  <si>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</si>
  <si>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</si>
  <si>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</si>
  <si>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</si>
  <si>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</si>
  <si>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</si>
  <si>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</si>
  <si>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</si>
  <si>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</si>
  <si>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</si>
  <si>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</si>
  <si>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</si>
  <si>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</si>
  <si>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</si>
  <si>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</si>
  <si>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</si>
  <si>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</si>
  <si>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</si>
  <si>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</si>
  <si>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</si>
  <si>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</si>
  <si>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</si>
  <si>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</si>
  <si>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</si>
  <si>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</si>
  <si>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</si>
  <si>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</si>
  <si>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</si>
  <si>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</si>
  <si>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</si>
  <si>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</si>
  <si>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</si>
  <si>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</si>
  <si>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</si>
  <si>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</si>
  <si>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</si>
  <si>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</si>
  <si>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</si>
  <si>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</si>
  <si>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</si>
  <si>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</si>
  <si>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</si>
  <si>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</si>
  <si>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</si>
  <si>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</si>
  <si>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</si>
  <si>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</si>
  <si>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</si>
  <si>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</si>
  <si>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</si>
  <si>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</si>
  <si>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</si>
  <si>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</si>
  <si>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</si>
  <si>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</si>
  <si>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</si>
  <si>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</si>
  <si>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</si>
  <si>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</si>
  <si>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</si>
  <si>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</si>
  <si>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</si>
  <si>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</si>
  <si>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</si>
  <si>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</si>
  <si>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</si>
  <si>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</si>
  <si>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</si>
  <si>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</si>
  <si>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</si>
  <si>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</si>
  <si>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</si>
  <si>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</si>
  <si>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</si>
  <si>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</si>
  <si>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</si>
  <si>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</si>
  <si>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</si>
  <si>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</si>
  <si>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</si>
  <si>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</si>
  <si>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</si>
  <si>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</si>
  <si>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</si>
  <si>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</si>
  <si>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</si>
  <si>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</si>
  <si>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</si>
  <si>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</si>
  <si>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</si>
  <si>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</si>
  <si>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</si>
  <si>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</si>
  <si>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</si>
  <si>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</si>
  <si>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</si>
  <si>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</si>
  <si>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</si>
  <si>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</si>
  <si>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</si>
  <si>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</si>
  <si>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</si>
  <si>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</si>
  <si>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</si>
  <si>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</si>
  <si>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</si>
  <si>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</si>
  <si>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</si>
  <si>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</si>
  <si>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</si>
  <si>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</si>
  <si>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</si>
  <si>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</si>
  <si>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</si>
  <si>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</si>
  <si>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</si>
  <si>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</si>
  <si>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</si>
  <si>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</si>
  <si>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</si>
  <si>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</si>
  <si>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</si>
  <si>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</si>
  <si>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</si>
  <si>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</si>
  <si>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</si>
  <si>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</si>
  <si>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</si>
  <si>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</si>
  <si>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</si>
  <si>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</si>
  <si>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</si>
  <si>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</si>
  <si>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</si>
  <si>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</si>
  <si>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</si>
  <si>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</si>
  <si>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</si>
  <si>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</si>
  <si>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</si>
  <si>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</si>
  <si>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</si>
  <si>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</si>
  <si>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</si>
  <si>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</si>
  <si>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</si>
  <si>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</si>
  <si>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</si>
  <si>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</si>
  <si>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</si>
  <si>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</si>
  <si>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</si>
  <si>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</si>
  <si>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</si>
  <si>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</si>
  <si>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</si>
  <si>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</si>
  <si>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</si>
  <si>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</si>
  <si>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</si>
  <si>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</si>
  <si>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</si>
  <si>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</si>
  <si>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</si>
  <si>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</si>
  <si>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</si>
  <si>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Александра Невского, 99/1 в части текущего ремонта</t>
  </si>
  <si>
    <t>разово</t>
  </si>
  <si>
    <t>Механизированная уборка и вывоз снега с придомовой территории.</t>
  </si>
  <si>
    <t xml:space="preserve">  -  ремонт отмостки </t>
  </si>
  <si>
    <t xml:space="preserve">  -  ремонт подъезда (2-10 этаж)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</si>
  <si>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</si>
  <si>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</si>
  <si>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</si>
  <si>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</si>
  <si>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</si>
  <si>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</si>
  <si>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Приобретение и замена предохранительных клапанов в ИТП (4 шт.).</t>
  </si>
  <si>
    <t>Ремонт прибора учета тепловой энергии.</t>
  </si>
  <si>
    <t>Приобретение и замена регистратора системы видеонаблюдения.</t>
  </si>
  <si>
    <t>счет №88 от 18.10.2023</t>
  </si>
  <si>
    <t>АВР 1/22 от 15.01.2023, счет №91 от 31.12.2022</t>
  </si>
  <si>
    <t>АВР 2/23 от 24.04.2023</t>
  </si>
  <si>
    <t>АВР 5/23 от 18.08.2023, счет №248 от 12.09.2023</t>
  </si>
  <si>
    <t>АВР 6/23 от 13.09.2023, счет №349 от 13.09.2023</t>
  </si>
  <si>
    <t>Промывка выпуска канализации.</t>
  </si>
  <si>
    <t>АВР 8/23 от 03.11.2023</t>
  </si>
  <si>
    <t>Ремонт карнизного балкона над кв.39.</t>
  </si>
  <si>
    <t xml:space="preserve">  -  замена кранов шаровых на стояках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</si>
</sst>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35" fillId="0" borderId="0"/>
    <xf numFmtId="0" fontId="10" fillId="0" borderId="0"/>
    <xf numFmtId="0" fontId="8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7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 applyBorder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7" fillId="3" borderId="0" xfId="8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17" fillId="0" borderId="0" xfId="1" applyNumberFormat="1" applyFont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>
      <alignment horizontal="left"/>
    </xf>
    <xf numFmtId="0" fontId="17" fillId="0" borderId="0" xfId="9" applyFont="1" applyFill="1" applyBorder="1" applyAlignment="1">
      <alignment horizontal="left"/>
    </xf>
    <xf numFmtId="4" fontId="17" fillId="0" borderId="0" xfId="9" applyNumberFormat="1" applyFont="1" applyFill="1"/>
    <xf numFmtId="0" fontId="0" fillId="6" borderId="0" xfId="0" applyFill="1" applyBorder="1"/>
    <xf numFmtId="0" fontId="25" fillId="6" borderId="0" xfId="5" applyFont="1" applyFill="1" applyBorder="1" applyAlignment="1"/>
    <xf numFmtId="0" fontId="25" fillId="6" borderId="0" xfId="5" applyFont="1" applyFill="1" applyBorder="1" applyAlignment="1">
      <alignment horizontal="center"/>
    </xf>
    <xf numFmtId="0" fontId="25" fillId="6" borderId="0" xfId="5" applyNumberFormat="1" applyFont="1" applyFill="1" applyBorder="1" applyAlignment="1">
      <alignment horizontal="center"/>
    </xf>
    <xf numFmtId="4" fontId="25" fillId="6" borderId="0" xfId="5" applyNumberFormat="1" applyFont="1" applyFill="1" applyBorder="1" applyAlignment="1"/>
    <xf numFmtId="0" fontId="12" fillId="6" borderId="0" xfId="4" applyFill="1" applyBorder="1" applyAlignment="1">
      <alignment horizontal="center"/>
    </xf>
    <xf numFmtId="4" fontId="25" fillId="6" borderId="0" xfId="4" applyNumberFormat="1" applyFont="1" applyFill="1" applyBorder="1" applyAlignment="1"/>
    <xf numFmtId="0" fontId="3" fillId="6" borderId="0" xfId="2" applyFont="1" applyFill="1" applyBorder="1" applyAlignment="1"/>
    <xf numFmtId="0" fontId="3" fillId="6" borderId="0" xfId="4" applyFont="1" applyFill="1" applyBorder="1" applyAlignment="1">
      <alignment horizontal="center"/>
    </xf>
    <xf numFmtId="0" fontId="12" fillId="4" borderId="0" xfId="4" applyFill="1" applyBorder="1" applyAlignment="1">
      <alignment horizontal="center"/>
    </xf>
    <xf numFmtId="4" fontId="25" fillId="4" borderId="0" xfId="4" applyNumberFormat="1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11" fillId="0" borderId="0" xfId="5" applyFill="1" applyBorder="1" applyAlignment="1"/>
    <xf numFmtId="0" fontId="11" fillId="0" borderId="0" xfId="5" applyFill="1" applyBorder="1" applyAlignment="1">
      <alignment horizontal="center"/>
    </xf>
    <xf numFmtId="4" fontId="11" fillId="0" borderId="0" xfId="5" applyNumberForma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5" fillId="4" borderId="0" xfId="4" applyFont="1" applyFill="1" applyBorder="1" applyAlignment="1">
      <alignment horizontal="center"/>
    </xf>
    <xf numFmtId="0" fontId="0" fillId="4" borderId="0" xfId="0" applyFill="1" applyBorder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4" borderId="0" xfId="2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11"/>
    <cellStyle name="Обычный 2 5" xfId="8"/>
    <cellStyle name="Обычный 3" xfId="2"/>
    <cellStyle name="Обычный 3 2" xfId="12"/>
    <cellStyle name="Обычный 4" xfId="4"/>
    <cellStyle name="Обычный 4 2" xfId="13"/>
    <cellStyle name="Обычный 5" xfId="5"/>
    <cellStyle name="Обычный 5 2" xfId="14"/>
    <cellStyle name="Обычный 6" xfId="6"/>
    <cellStyle name="Обычный 6 2" xfId="10"/>
    <cellStyle name="Обычн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3" t="s">
        <v>178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09"/>
      <c r="L8" s="174"/>
      <c r="M8" s="109"/>
      <c r="N8" s="109"/>
      <c r="O8" s="70" t="s">
        <v>84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09"/>
      <c r="L9" s="174"/>
      <c r="M9" s="109"/>
      <c r="N9" s="109"/>
      <c r="O9" s="70" t="s">
        <v>85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120165.2</v>
      </c>
      <c r="K10" s="109"/>
      <c r="L10" s="174"/>
      <c r="M10" s="109"/>
      <c r="N10" s="109"/>
      <c r="O10" s="70" t="s">
        <v>86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693837.72000000009</v>
      </c>
      <c r="K11" s="109"/>
      <c r="L11" s="174"/>
      <c r="M11" s="109"/>
      <c r="N11" s="109"/>
      <c r="O11" s="70" t="s">
        <v>87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527065.56000000006</v>
      </c>
      <c r="K12" s="109"/>
      <c r="L12" s="174"/>
      <c r="M12" s="109"/>
      <c r="N12" s="109"/>
      <c r="O12" s="70" t="s">
        <v>88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166772.16</v>
      </c>
      <c r="K13" s="109"/>
      <c r="L13" s="174"/>
      <c r="M13" s="109"/>
      <c r="N13" s="109"/>
      <c r="O13" s="70" t="s">
        <v>89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09"/>
      <c r="L14" s="174"/>
      <c r="M14" s="109"/>
      <c r="N14" s="109"/>
      <c r="O14" s="70" t="s">
        <v>90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743361.27</v>
      </c>
      <c r="K15" s="109"/>
      <c r="L15" s="174"/>
      <c r="M15" s="109"/>
      <c r="N15" s="109"/>
      <c r="O15" s="70" t="s">
        <v>91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743361.27</v>
      </c>
      <c r="K16" s="109"/>
      <c r="L16" s="174"/>
      <c r="M16" s="109"/>
      <c r="N16" s="109"/>
      <c r="O16" s="70" t="s">
        <v>92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09"/>
      <c r="L17" s="174"/>
      <c r="M17" s="109"/>
      <c r="N17" s="109"/>
      <c r="O17" s="70" t="s">
        <v>93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09"/>
      <c r="L18" s="174"/>
      <c r="M18" s="109"/>
      <c r="N18" s="109"/>
      <c r="O18" s="70" t="s">
        <v>94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09"/>
      <c r="L19" s="174"/>
      <c r="M19" s="109"/>
      <c r="N19" s="109"/>
      <c r="O19" s="70" t="s">
        <v>95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09"/>
      <c r="L20" s="174"/>
      <c r="M20" s="109"/>
      <c r="N20" s="109"/>
      <c r="O20" s="70" t="s">
        <v>96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743361.27</v>
      </c>
      <c r="K21" s="109"/>
      <c r="L21" s="174"/>
      <c r="M21" s="109"/>
      <c r="N21" s="109"/>
      <c r="O21" s="70" t="s">
        <v>97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09"/>
      <c r="L22" s="174"/>
      <c r="M22" s="109"/>
      <c r="N22" s="109"/>
      <c r="O22" s="70" t="s">
        <v>98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09"/>
      <c r="L23" s="174"/>
      <c r="M23" s="109"/>
      <c r="N23" s="109"/>
      <c r="O23" s="70" t="s">
        <v>99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70641.650000000023</v>
      </c>
      <c r="K24" s="109"/>
      <c r="L24" s="174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6" t="s">
        <v>19</v>
      </c>
      <c r="B27" s="166"/>
      <c r="C27" s="166"/>
      <c r="D27" s="166"/>
      <c r="E27" s="166"/>
      <c r="F27" s="166" t="s">
        <v>20</v>
      </c>
      <c r="G27" s="166"/>
      <c r="H27" s="5" t="s">
        <v>57</v>
      </c>
      <c r="I27" s="166" t="s">
        <v>21</v>
      </c>
      <c r="J27" s="166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63">
        <f>VLOOKUP(A28,ПТО!$A$39:$D$53,2,FALSE)</f>
        <v>189127.32</v>
      </c>
      <c r="G28" s="163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63">
        <f>VLOOKUP(A29,ПТО!$A$39:$D$53,2,FALSE)</f>
        <v>67800.36</v>
      </c>
      <c r="G29" s="163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9"/>
      <c r="L29" s="17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63">
        <f>VLOOKUP(A30,ПТО!$A$39:$D$53,2,FALSE)</f>
        <v>45319.199999999997</v>
      </c>
      <c r="G30" s="163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63">
        <f>VLOOKUP(A31,ПТО!$A$39:$D$53,2,FALSE)</f>
        <v>42821.279999999999</v>
      </c>
      <c r="G31" s="163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63" t="e">
        <f>VLOOKUP(A32,ПТО!$A$39:$D$53,2,FALSE)</f>
        <v>#N/A</v>
      </c>
      <c r="G32" s="163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7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63">
        <f>VLOOKUP(A33,ПТО!$A$39:$D$53,2,FALSE)</f>
        <v>12489.6</v>
      </c>
      <c r="G33" s="163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63">
        <f>VLOOKUP(A34,ПТО!$A$39:$D$53,2,FALSE)</f>
        <v>46746.6</v>
      </c>
      <c r="G34" s="163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8"/>
      <c r="C35" s="158"/>
      <c r="D35" s="158"/>
      <c r="E35" s="158"/>
      <c r="F35" s="163">
        <f>VLOOKUP(A35,ПТО!$A$39:$D$53,2,FALSE)</f>
        <v>142380.72</v>
      </c>
      <c r="G35" s="163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75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8">
        <f>ПТО!A47</f>
        <v>0</v>
      </c>
      <c r="B36" s="158"/>
      <c r="C36" s="158"/>
      <c r="D36" s="158"/>
      <c r="E36" s="158"/>
      <c r="F36" s="163" t="e">
        <f>VLOOKUP(A36,ПТО!$A$39:$D$53,2,FALSE)</f>
        <v>#N/A</v>
      </c>
      <c r="G36" s="163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75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63" t="e">
        <f>VLOOKUP(A37,ПТО!$A$39:$D$53,2,FALSE)</f>
        <v>#N/A</v>
      </c>
      <c r="G37" s="163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7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63" t="e">
        <f>VLOOKUP(A38,ПТО!$A$39:$D$53,2,FALSE)</f>
        <v>#N/A</v>
      </c>
      <c r="G38" s="163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7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63" t="e">
        <f>VLOOKUP(A39,ПТО!$A$39:$D$53,2,FALSE)</f>
        <v>#N/A</v>
      </c>
      <c r="G39" s="163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7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63" t="e">
        <f>VLOOKUP(A40,ПТО!$A$39:$D$53,2,FALSE)</f>
        <v>#N/A</v>
      </c>
      <c r="G40" s="163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7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63" t="e">
        <f>VLOOKUP(A41,ПТО!$A$39:$D$53,2,FALSE)</f>
        <v>#N/A</v>
      </c>
      <c r="G41" s="163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7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63" t="e">
        <f>VLOOKUP(A42,ПТО!$A$39:$D$53,2,FALSE)</f>
        <v>#N/A</v>
      </c>
      <c r="G42" s="163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7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освидетельствование лифта.</v>
      </c>
      <c r="B43" s="158"/>
      <c r="C43" s="158"/>
      <c r="D43" s="158"/>
      <c r="E43" s="158"/>
      <c r="F43" s="163">
        <f>VLOOKUP(A43,ПТО!$A$2:$D$31,4,FALSE)</f>
        <v>8100</v>
      </c>
      <c r="G43" s="163"/>
      <c r="H43" s="19" t="str">
        <f>VLOOKUP(A43,ПТО!$A$2:$D$31,2,FALSE)</f>
        <v>ежегодно</v>
      </c>
      <c r="I43" s="159">
        <f>VLOOKUP(A43,ПТО!$A$2:$D$31,3,FALSE)</f>
        <v>1</v>
      </c>
      <c r="J43" s="159"/>
      <c r="K43" s="109"/>
      <c r="L43" s="175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8" t="str">
        <f>ПТО!A3</f>
        <v>Техническое обслуживание системы видеонаблюдения.</v>
      </c>
      <c r="B44" s="158"/>
      <c r="C44" s="158"/>
      <c r="D44" s="158"/>
      <c r="E44" s="158"/>
      <c r="F44" s="163">
        <f>VLOOKUP(A44,ПТО!$A$2:$D$31,4,FALSE)</f>
        <v>5240</v>
      </c>
      <c r="G44" s="163"/>
      <c r="H44" s="25" t="str">
        <f>VLOOKUP(A44,ПТО!$A$2:$D$31,2,FALSE)</f>
        <v>ежемесячно</v>
      </c>
      <c r="I44" s="159">
        <f>VLOOKUP(A44,ПТО!$A$2:$D$31,3,FALSE)</f>
        <v>12</v>
      </c>
      <c r="J44" s="159"/>
      <c r="K44" s="109"/>
      <c r="L44" s="175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58" t="str">
        <f>ПТО!A4</f>
        <v>Механизированная уборка и вывоз снега с придомовой территории.</v>
      </c>
      <c r="B45" s="158"/>
      <c r="C45" s="158"/>
      <c r="D45" s="158"/>
      <c r="E45" s="158"/>
      <c r="F45" s="163">
        <f>VLOOKUP(A45,ПТО!$A$2:$D$31,4,FALSE)</f>
        <v>22980</v>
      </c>
      <c r="G45" s="163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75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8" t="str">
        <f>ПТО!A5</f>
        <v>Ремонт карнизного балкона над кв.39.</v>
      </c>
      <c r="B46" s="158"/>
      <c r="C46" s="158"/>
      <c r="D46" s="158"/>
      <c r="E46" s="158"/>
      <c r="F46" s="163">
        <f>VLOOKUP(A46,ПТО!$A$2:$D$31,4,FALSE)</f>
        <v>38900</v>
      </c>
      <c r="G46" s="163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75"/>
      <c r="M46" s="116"/>
      <c r="N46" s="109"/>
      <c r="O46" s="23" t="str">
        <f t="shared" si="1"/>
        <v>Ремонт карнизного балкона над кв.39.</v>
      </c>
      <c r="R46" s="22" t="s">
        <v>72</v>
      </c>
    </row>
    <row r="47" spans="1:18" ht="51" customHeight="1" outlineLevel="1">
      <c r="A47" s="158" t="str">
        <f>ПТО!A6</f>
        <v>Ремонт прибора учета тепловой энергии.</v>
      </c>
      <c r="B47" s="158"/>
      <c r="C47" s="158"/>
      <c r="D47" s="158"/>
      <c r="E47" s="158"/>
      <c r="F47" s="163">
        <f>VLOOKUP(A47,ПТО!$A$2:$D$31,4,FALSE)</f>
        <v>2370</v>
      </c>
      <c r="G47" s="163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75"/>
      <c r="M47" s="116"/>
      <c r="N47" s="109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58" t="str">
        <f>ПТО!A7</f>
        <v>Приобретение и замена предохранительных клапанов в ИТП (4 шт.).</v>
      </c>
      <c r="B48" s="158"/>
      <c r="C48" s="158"/>
      <c r="D48" s="158"/>
      <c r="E48" s="158"/>
      <c r="F48" s="163">
        <f>VLOOKUP(A48,ПТО!$A$2:$D$31,4,FALSE)</f>
        <v>670</v>
      </c>
      <c r="G48" s="163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75"/>
      <c r="M48" s="116"/>
      <c r="N48" s="109"/>
      <c r="O48" s="23" t="str">
        <f t="shared" si="1"/>
        <v>Приобретение и замена предохранительных клапанов в ИТП (4 шт.).</v>
      </c>
      <c r="R48" s="22" t="s">
        <v>72</v>
      </c>
    </row>
    <row r="49" spans="1:18" ht="51" customHeight="1" outlineLevel="1">
      <c r="A49" s="158" t="str">
        <f>ПТО!A8</f>
        <v>Приобретение и замена регистратора системы видеонаблюдения.</v>
      </c>
      <c r="B49" s="158"/>
      <c r="C49" s="158"/>
      <c r="D49" s="158"/>
      <c r="E49" s="158"/>
      <c r="F49" s="163">
        <f>VLOOKUP(A49,ПТО!$A$2:$D$31,4,FALSE)</f>
        <v>6921</v>
      </c>
      <c r="G49" s="163"/>
      <c r="H49" s="25" t="str">
        <f>VLOOKUP(A49,ПТО!$A$2:$D$31,2,FALSE)</f>
        <v>разово</v>
      </c>
      <c r="I49" s="159">
        <f>VLOOKUP(A49,ПТО!$A$2:$D$31,3,FALSE)</f>
        <v>1</v>
      </c>
      <c r="J49" s="159"/>
      <c r="K49" s="109"/>
      <c r="L49" s="175"/>
      <c r="M49" s="116"/>
      <c r="N49" s="109"/>
      <c r="O49" s="23" t="str">
        <f t="shared" si="1"/>
        <v>Приобретение и замена регистратора системы видеонаблюдения.</v>
      </c>
      <c r="R49" s="22" t="s">
        <v>72</v>
      </c>
    </row>
    <row r="50" spans="1:18" ht="51" customHeight="1" outlineLevel="1">
      <c r="A50" s="158" t="str">
        <f>ПТО!A9</f>
        <v>Промывка выпуска канализации.</v>
      </c>
      <c r="B50" s="158"/>
      <c r="C50" s="158"/>
      <c r="D50" s="158"/>
      <c r="E50" s="158"/>
      <c r="F50" s="163">
        <f>VLOOKUP(A50,ПТО!$A$2:$D$31,4,FALSE)</f>
        <v>16000</v>
      </c>
      <c r="G50" s="163"/>
      <c r="H50" s="25" t="str">
        <f>VLOOKUP(A50,ПТО!$A$2:$D$31,2,FALSE)</f>
        <v>разово</v>
      </c>
      <c r="I50" s="159">
        <f>VLOOKUP(A50,ПТО!$A$2:$D$31,3,FALSE)</f>
        <v>1</v>
      </c>
      <c r="J50" s="159"/>
      <c r="K50" s="109"/>
      <c r="L50" s="175"/>
      <c r="M50" s="116"/>
      <c r="N50" s="109"/>
      <c r="O50" s="23" t="str">
        <f t="shared" si="1"/>
        <v>Промывка выпуска канализации.</v>
      </c>
      <c r="R50" s="22" t="s">
        <v>72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63" t="e">
        <f>VLOOKUP(A51,ПТО!$A$2:$D$31,4,FALSE)</f>
        <v>#N/A</v>
      </c>
      <c r="G51" s="163"/>
      <c r="H51" s="25" t="e">
        <f>VLOOKUP(A51,ПТО!$A$2:$D$31,2,FALSE)</f>
        <v>#N/A</v>
      </c>
      <c r="I51" s="159" t="e">
        <f>VLOOKUP(A51,ПТО!$A$2:$D$31,3,FALSE)</f>
        <v>#N/A</v>
      </c>
      <c r="J51" s="159"/>
      <c r="K51" s="109"/>
      <c r="L51" s="175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63" t="e">
        <f>VLOOKUP(A52,ПТО!$A$2:$D$31,4,FALSE)</f>
        <v>#N/A</v>
      </c>
      <c r="G52" s="163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9"/>
      <c r="L52" s="175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63" t="e">
        <f>VLOOKUP(A53,ПТО!$A$2:$D$31,4,FALSE)</f>
        <v>#N/A</v>
      </c>
      <c r="G53" s="163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9"/>
      <c r="L53" s="175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63" t="e">
        <f>VLOOKUP(A54,ПТО!$A$2:$D$31,4,FALSE)</f>
        <v>#N/A</v>
      </c>
      <c r="G54" s="163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9"/>
      <c r="L54" s="175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63" t="e">
        <f>VLOOKUP(A55,ПТО!$A$2:$D$31,4,FALSE)</f>
        <v>#N/A</v>
      </c>
      <c r="G55" s="163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9"/>
      <c r="L55" s="175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63" t="e">
        <f>VLOOKUP(A56,ПТО!$A$2:$D$31,4,FALSE)</f>
        <v>#N/A</v>
      </c>
      <c r="G56" s="163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75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63" t="e">
        <f>VLOOKUP(A57,ПТО!$A$2:$D$31,4,FALSE)</f>
        <v>#N/A</v>
      </c>
      <c r="G57" s="163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75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63" t="e">
        <f>VLOOKUP(A58,ПТО!$A$2:$D$31,4,FALSE)</f>
        <v>#N/A</v>
      </c>
      <c r="G58" s="163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7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63" t="e">
        <f>VLOOKUP(A59,ПТО!$A$2:$D$31,4,FALSE)</f>
        <v>#N/A</v>
      </c>
      <c r="G59" s="163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7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63" t="e">
        <f>VLOOKUP(A60,ПТО!$A$2:$D$31,4,FALSE)</f>
        <v>#N/A</v>
      </c>
      <c r="G60" s="163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7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63" t="e">
        <f>VLOOKUP(A61,ПТО!$A$2:$D$31,4,FALSE)</f>
        <v>#N/A</v>
      </c>
      <c r="G61" s="163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7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63" t="e">
        <f>VLOOKUP(A62,ПТО!$A$2:$D$31,4,FALSE)</f>
        <v>#N/A</v>
      </c>
      <c r="G62" s="163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7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63" t="e">
        <f>VLOOKUP(A63,ПТО!$A$2:$D$31,4,FALSE)</f>
        <v>#N/A</v>
      </c>
      <c r="G63" s="163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7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63" t="e">
        <f>VLOOKUP(A64,ПТО!$A$2:$D$31,4,FALSE)</f>
        <v>#N/A</v>
      </c>
      <c r="G64" s="163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7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63" t="e">
        <f>VLOOKUP(A65,ПТО!$A$2:$D$31,4,FALSE)</f>
        <v>#N/A</v>
      </c>
      <c r="G65" s="163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7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63" t="e">
        <f>VLOOKUP(A66,ПТО!$A$2:$D$31,4,FALSE)</f>
        <v>#N/A</v>
      </c>
      <c r="G66" s="163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7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63" t="e">
        <f>VLOOKUP(A67,ПТО!$A$2:$D$31,4,FALSE)</f>
        <v>#N/A</v>
      </c>
      <c r="G67" s="163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7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63" t="e">
        <f>VLOOKUP(A68,ПТО!$A$2:$D$31,4,FALSE)</f>
        <v>#N/A</v>
      </c>
      <c r="G68" s="163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7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63" t="e">
        <f>VLOOKUP(A69,ПТО!$A$2:$D$31,4,FALSE)</f>
        <v>#N/A</v>
      </c>
      <c r="G69" s="163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7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63" t="e">
        <f>VLOOKUP(A70,ПТО!$A$2:$D$31,4,FALSE)</f>
        <v>#N/A</v>
      </c>
      <c r="G70" s="163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7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63" t="e">
        <f>VLOOKUP(A71,ПТО!$A$2:$D$31,4,FALSE)</f>
        <v>#N/A</v>
      </c>
      <c r="G71" s="163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6"/>
      <c r="L71" s="17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63" t="e">
        <f>VLOOKUP(A72,ПТО!$A$2:$D$31,4,FALSE)</f>
        <v>#N/A</v>
      </c>
      <c r="G72" s="163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7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78"/>
      <c r="M75" s="109"/>
      <c r="N75" s="109"/>
      <c r="O75" s="70" t="s">
        <v>101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78"/>
      <c r="M76" s="109"/>
      <c r="N76" s="109"/>
      <c r="O76" s="70" t="s">
        <v>102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78"/>
      <c r="M77" s="109"/>
      <c r="N77" s="109"/>
      <c r="O77" s="70" t="s">
        <v>103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78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7">
        <f t="shared" ref="J81:J90" si="2">VLOOKUP(O81,АО,3,FALSE)</f>
        <v>0</v>
      </c>
      <c r="K81" s="109"/>
      <c r="L81" s="164"/>
      <c r="M81" s="109"/>
      <c r="N81" s="109"/>
      <c r="O81" s="70" t="s">
        <v>105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7">
        <f t="shared" si="2"/>
        <v>0</v>
      </c>
      <c r="K82" s="109"/>
      <c r="L82" s="164"/>
      <c r="M82" s="109"/>
      <c r="N82" s="109"/>
      <c r="O82" s="70" t="s">
        <v>106</v>
      </c>
    </row>
    <row r="83" spans="1:15" outlineLevel="1">
      <c r="A83" s="170" t="s">
        <v>4</v>
      </c>
      <c r="B83" s="171"/>
      <c r="C83" s="171"/>
      <c r="D83" s="171"/>
      <c r="E83" s="171"/>
      <c r="F83" s="171"/>
      <c r="G83" s="171"/>
      <c r="H83" s="171"/>
      <c r="I83" s="172"/>
      <c r="J83" s="97">
        <f t="shared" si="2"/>
        <v>27482.86</v>
      </c>
      <c r="K83" s="109"/>
      <c r="L83" s="164"/>
      <c r="M83" s="109"/>
      <c r="N83" s="109"/>
      <c r="O83" s="70" t="s">
        <v>107</v>
      </c>
    </row>
    <row r="84" spans="1:15" outlineLevel="1">
      <c r="A84" s="170" t="s">
        <v>16</v>
      </c>
      <c r="B84" s="171"/>
      <c r="C84" s="171"/>
      <c r="D84" s="171"/>
      <c r="E84" s="171"/>
      <c r="F84" s="171"/>
      <c r="G84" s="171"/>
      <c r="H84" s="171"/>
      <c r="I84" s="172"/>
      <c r="J84" s="97">
        <f t="shared" si="2"/>
        <v>0</v>
      </c>
      <c r="K84" s="109"/>
      <c r="L84" s="164"/>
      <c r="M84" s="109"/>
      <c r="N84" s="109"/>
      <c r="O84" s="70" t="s">
        <v>108</v>
      </c>
    </row>
    <row r="85" spans="1:15" outlineLevel="1">
      <c r="A85" s="170" t="s">
        <v>17</v>
      </c>
      <c r="B85" s="171"/>
      <c r="C85" s="171"/>
      <c r="D85" s="171"/>
      <c r="E85" s="171"/>
      <c r="F85" s="171"/>
      <c r="G85" s="171"/>
      <c r="H85" s="171"/>
      <c r="I85" s="172"/>
      <c r="J85" s="97">
        <f t="shared" si="2"/>
        <v>0</v>
      </c>
      <c r="K85" s="109"/>
      <c r="L85" s="164"/>
      <c r="M85" s="109"/>
      <c r="N85" s="109"/>
      <c r="O85" s="70" t="s">
        <v>109</v>
      </c>
    </row>
    <row r="86" spans="1:15" outlineLevel="1">
      <c r="A86" s="170" t="s">
        <v>18</v>
      </c>
      <c r="B86" s="171"/>
      <c r="C86" s="171"/>
      <c r="D86" s="171"/>
      <c r="E86" s="171"/>
      <c r="F86" s="171"/>
      <c r="G86" s="171"/>
      <c r="H86" s="171"/>
      <c r="I86" s="172"/>
      <c r="J86" s="97">
        <f t="shared" si="2"/>
        <v>37018.89</v>
      </c>
      <c r="K86" s="109"/>
      <c r="L86" s="164"/>
      <c r="M86" s="109"/>
      <c r="N86" s="109"/>
      <c r="O86" s="70" t="s">
        <v>110</v>
      </c>
    </row>
    <row r="87" spans="1:15" ht="18.75" customHeight="1" outlineLevel="1">
      <c r="A87" s="170" t="s">
        <v>27</v>
      </c>
      <c r="B87" s="171"/>
      <c r="C87" s="171"/>
      <c r="D87" s="171"/>
      <c r="E87" s="171"/>
      <c r="F87" s="171"/>
      <c r="G87" s="171"/>
      <c r="H87" s="171"/>
      <c r="I87" s="172"/>
      <c r="J87" s="8">
        <f t="shared" si="2"/>
        <v>0</v>
      </c>
      <c r="K87" s="109"/>
      <c r="L87" s="164"/>
      <c r="M87" s="109"/>
      <c r="N87" s="109"/>
      <c r="O87" s="70" t="s">
        <v>111</v>
      </c>
    </row>
    <row r="88" spans="1:15" ht="18.75" customHeight="1" outlineLevel="1">
      <c r="A88" s="170" t="s">
        <v>28</v>
      </c>
      <c r="B88" s="171"/>
      <c r="C88" s="171"/>
      <c r="D88" s="171"/>
      <c r="E88" s="171"/>
      <c r="F88" s="171"/>
      <c r="G88" s="171"/>
      <c r="H88" s="171"/>
      <c r="I88" s="172"/>
      <c r="J88" s="8">
        <f t="shared" si="2"/>
        <v>0</v>
      </c>
      <c r="K88" s="109"/>
      <c r="L88" s="164"/>
      <c r="M88" s="109"/>
      <c r="N88" s="109"/>
      <c r="O88" s="70" t="s">
        <v>112</v>
      </c>
    </row>
    <row r="89" spans="1:15" ht="18.75" customHeight="1" outlineLevel="1">
      <c r="A89" s="170" t="s">
        <v>29</v>
      </c>
      <c r="B89" s="171"/>
      <c r="C89" s="171"/>
      <c r="D89" s="171"/>
      <c r="E89" s="171"/>
      <c r="F89" s="171"/>
      <c r="G89" s="171"/>
      <c r="H89" s="171"/>
      <c r="I89" s="172"/>
      <c r="J89" s="8">
        <f t="shared" si="2"/>
        <v>0</v>
      </c>
      <c r="K89" s="109"/>
      <c r="L89" s="164"/>
      <c r="M89" s="109"/>
      <c r="N89" s="109"/>
      <c r="O89" s="70" t="s">
        <v>113</v>
      </c>
    </row>
    <row r="90" spans="1:15" ht="18.75" customHeight="1" outlineLevel="1">
      <c r="A90" s="170" t="s">
        <v>30</v>
      </c>
      <c r="B90" s="171"/>
      <c r="C90" s="171"/>
      <c r="D90" s="171"/>
      <c r="E90" s="171"/>
      <c r="F90" s="171"/>
      <c r="G90" s="171"/>
      <c r="H90" s="171"/>
      <c r="I90" s="172"/>
      <c r="J90" s="97">
        <f t="shared" si="2"/>
        <v>0</v>
      </c>
      <c r="K90" s="109"/>
      <c r="L90" s="164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9" t="s">
        <v>48</v>
      </c>
      <c r="B93" s="179"/>
      <c r="C93" s="179"/>
      <c r="D93" s="180" t="s">
        <v>49</v>
      </c>
      <c r="E93" s="180"/>
      <c r="F93" s="10" t="s">
        <v>50</v>
      </c>
      <c r="G93" s="179" t="s">
        <v>51</v>
      </c>
      <c r="H93" s="179"/>
      <c r="I93" s="179"/>
      <c r="J93" s="179"/>
      <c r="K93" s="109"/>
      <c r="L93" s="109"/>
      <c r="M93" s="109"/>
      <c r="N93" s="109"/>
    </row>
    <row r="94" spans="1:15" hidden="1" outlineLevel="1">
      <c r="A94" s="160">
        <f>IF(VLOOKUP("эл",АО,3,FALSE)&gt;0,"Электроснабжение",0)</f>
        <v>0</v>
      </c>
      <c r="B94" s="160"/>
      <c r="C94" s="160"/>
      <c r="D94" s="161">
        <f>IF(VLOOKUP("эл",АО,3,FALSE)&gt;0,VLOOKUP("эл",АО,3,FALSE),0)</f>
        <v>0</v>
      </c>
      <c r="E94" s="161"/>
      <c r="F94" s="13">
        <f>IF(VLOOKUP("эл",АО,3,FALSE)&gt;0,VLOOKUP("эл",АО,4,FALSE),0)</f>
        <v>0</v>
      </c>
      <c r="G94" s="162">
        <f>VLOOKUP("эл",АО,5,FALSE)</f>
        <v>0</v>
      </c>
      <c r="H94" s="161"/>
      <c r="I94" s="161"/>
      <c r="J94" s="161"/>
      <c r="K94" s="1" t="str">
        <f>VLOOKUP("эл",АО,2,FALSE)</f>
        <v>Электроснабжение</v>
      </c>
      <c r="L94" s="165"/>
    </row>
    <row r="95" spans="1:15" hidden="1" outlineLevel="2">
      <c r="A95" s="177">
        <f>IF(VLOOKUP("эл",АО,3,FALSE)&gt;0,VLOOKUP("эл1",АО,2,FALSE),0)</f>
        <v>0</v>
      </c>
      <c r="B95" s="177"/>
      <c r="C95" s="177"/>
      <c r="D95" s="177"/>
      <c r="E95" s="177"/>
      <c r="F95" s="177"/>
      <c r="G95" s="177"/>
      <c r="H95" s="177"/>
      <c r="I95" s="177"/>
      <c r="J95" s="18">
        <f t="shared" ref="J95:J101" si="3">VLOOKUP(O95,АО,3,FALSE)</f>
        <v>0</v>
      </c>
      <c r="L95" s="165"/>
      <c r="O95" s="1" t="s">
        <v>115</v>
      </c>
    </row>
    <row r="96" spans="1:15" hidden="1" outlineLevel="2">
      <c r="A96" s="177">
        <f>IF(VLOOKUP("эл",АО,3,FALSE)&gt;0,VLOOKUP("эл2",АО,2,FALSE),0)</f>
        <v>0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0</v>
      </c>
      <c r="L96" s="165"/>
      <c r="O96" s="1" t="s">
        <v>116</v>
      </c>
    </row>
    <row r="97" spans="1:15" hidden="1" outlineLevel="2">
      <c r="A97" s="177">
        <f>IF(VLOOKUP("эл",АО,3,FALSE)&gt;0,VLOOKUP("эл3",АО,2,FALSE),0)</f>
        <v>0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0</v>
      </c>
      <c r="L97" s="165"/>
      <c r="O97" s="1" t="s">
        <v>117</v>
      </c>
    </row>
    <row r="98" spans="1:15" ht="37.5" hidden="1" customHeight="1" outlineLevel="2">
      <c r="A98" s="177">
        <f>IF(VLOOKUP("эл",АО,3,FALSE)&gt;0,VLOOKUP("эл4",АО,2,FALSE),0)</f>
        <v>0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0</v>
      </c>
      <c r="L98" s="165"/>
      <c r="O98" s="1" t="s">
        <v>118</v>
      </c>
    </row>
    <row r="99" spans="1:15" hidden="1" outlineLevel="2">
      <c r="A99" s="177">
        <f>IF(VLOOKUP("эл",АО,3,FALSE)&gt;0,VLOOKUP("эл5",АО,2,FALSE),0)</f>
        <v>0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0</v>
      </c>
      <c r="L99" s="165"/>
      <c r="O99" s="1" t="s">
        <v>119</v>
      </c>
    </row>
    <row r="100" spans="1:15" ht="39" hidden="1" customHeight="1" outlineLevel="2">
      <c r="A100" s="177">
        <f>IF(VLOOKUP("эл",АО,3,FALSE)&gt;0,VLOOKUP("эл6",АО,2,FALSE),0)</f>
        <v>0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65"/>
      <c r="O100" s="1" t="s">
        <v>120</v>
      </c>
    </row>
    <row r="101" spans="1:15" ht="34.5" hidden="1" customHeight="1" outlineLevel="2">
      <c r="A101" s="177">
        <f>IF(VLOOKUP("эл",АО,3,FALSE)&gt;0,VLOOKUP("эл7",АО,2,FALSE),0)</f>
        <v>0</v>
      </c>
      <c r="B101" s="177"/>
      <c r="C101" s="177"/>
      <c r="D101" s="177"/>
      <c r="E101" s="177"/>
      <c r="F101" s="177"/>
      <c r="G101" s="177"/>
      <c r="H101" s="177"/>
      <c r="I101" s="177"/>
      <c r="J101" s="18">
        <f t="shared" si="3"/>
        <v>0</v>
      </c>
      <c r="L101" s="165"/>
      <c r="O101" s="1" t="s">
        <v>121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61" t="str">
        <f>IF(VLOOKUP("хвс",АО,3,FALSE)&gt;0,VLOOKUP("хвс",АО,3,FALSE),0)</f>
        <v>Предоставляется</v>
      </c>
      <c r="E102" s="161"/>
      <c r="F102" s="13" t="str">
        <f>IF(VLOOKUP("хвс",АО,3,FALSE)&gt;0,VLOOKUP("хвс",АО,4,FALSE),0)</f>
        <v>куб.м.</v>
      </c>
      <c r="G102" s="162">
        <f>VLOOKUP("хвс",АО,5,FALSE)</f>
        <v>97857.84</v>
      </c>
      <c r="H102" s="161"/>
      <c r="I102" s="161"/>
      <c r="J102" s="161"/>
      <c r="L102" s="165"/>
    </row>
    <row r="103" spans="1:15" outlineLevel="2">
      <c r="A103" s="177" t="str">
        <f t="shared" ref="A103:A109" si="4">IF(VLOOKUP("хвс",АО,3,FALSE)&gt;0,VLOOKUP(O103,АО,2,FALSE),0)</f>
        <v>Общий объем потребления, нат. показ.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ref="J103:J109" si="5">VLOOKUP(O103,АО,3,FALSE)</f>
        <v>6716.39</v>
      </c>
      <c r="L103" s="165"/>
      <c r="O103" s="1" t="s">
        <v>124</v>
      </c>
    </row>
    <row r="104" spans="1:15" ht="18.75" customHeight="1" outlineLevel="2">
      <c r="A104" s="177" t="str">
        <f t="shared" si="4"/>
        <v>Оплачено потребителями,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94185.79</v>
      </c>
      <c r="L104" s="165"/>
      <c r="O104" s="1" t="s">
        <v>125</v>
      </c>
    </row>
    <row r="105" spans="1:15" ht="18.75" customHeight="1" outlineLevel="2">
      <c r="A105" s="177" t="str">
        <f t="shared" si="4"/>
        <v>Задолженность потребителей,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3672.0500000000029</v>
      </c>
      <c r="L105" s="165"/>
      <c r="O105" s="1" t="s">
        <v>126</v>
      </c>
    </row>
    <row r="106" spans="1:15" ht="36.75" customHeight="1" outlineLevel="2">
      <c r="A106" s="177" t="str">
        <f t="shared" si="4"/>
        <v>Начислено поставщиком (поставщиками)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97857.84</v>
      </c>
      <c r="L106" s="165"/>
      <c r="O106" s="1" t="s">
        <v>127</v>
      </c>
    </row>
    <row r="107" spans="1:15" ht="18.75" customHeight="1" outlineLevel="2">
      <c r="A107" s="177" t="str">
        <f t="shared" si="4"/>
        <v>Оплачено поставщику (поставщикам)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97857.84</v>
      </c>
      <c r="L107" s="165"/>
      <c r="O107" s="1" t="s">
        <v>128</v>
      </c>
    </row>
    <row r="108" spans="1:15" ht="37.5" customHeight="1" outlineLevel="2">
      <c r="A108" s="177" t="str">
        <f t="shared" si="4"/>
        <v>Задолженность перед поставщиком (поставщиками)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65"/>
      <c r="O108" s="1" t="s">
        <v>129</v>
      </c>
    </row>
    <row r="109" spans="1:15" ht="39.75" customHeight="1" outlineLevel="2">
      <c r="A109" s="177" t="str">
        <f t="shared" si="4"/>
        <v>Размер пени и штрафов, уплаченных поставщику (поставщикам) коммунального ресурса, руб.</v>
      </c>
      <c r="B109" s="177"/>
      <c r="C109" s="177"/>
      <c r="D109" s="177"/>
      <c r="E109" s="177"/>
      <c r="F109" s="177"/>
      <c r="G109" s="177"/>
      <c r="H109" s="177"/>
      <c r="I109" s="177"/>
      <c r="J109" s="18">
        <f t="shared" si="5"/>
        <v>0</v>
      </c>
      <c r="L109" s="165"/>
      <c r="O109" s="1" t="s">
        <v>130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61" t="str">
        <f>IF(VLOOKUP("воо",АО,3,FALSE)&gt;0,VLOOKUP("воо",АО,3,FALSE),0)</f>
        <v>Предоставляется</v>
      </c>
      <c r="E110" s="161"/>
      <c r="F110" s="13" t="str">
        <f>IF(VLOOKUP("воо",АО,3,FALSE)&gt;0,VLOOKUP("воо",АО,4,FALSE),0)</f>
        <v>куб.м.</v>
      </c>
      <c r="G110" s="162">
        <f>VLOOKUP("воо",АО,5,FALSE)</f>
        <v>129375.33</v>
      </c>
      <c r="H110" s="161"/>
      <c r="I110" s="161"/>
      <c r="J110" s="161"/>
      <c r="L110" s="165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7305.21</v>
      </c>
      <c r="L111" s="165"/>
      <c r="O111" s="1" t="s">
        <v>132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120473.14</v>
      </c>
      <c r="L112" s="165"/>
      <c r="O112" s="1" t="s">
        <v>133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8902.1900000000023</v>
      </c>
      <c r="L113" s="165"/>
      <c r="O113" s="1" t="s">
        <v>134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129375.33</v>
      </c>
      <c r="L114" s="165"/>
      <c r="O114" s="1" t="s">
        <v>135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129375.33</v>
      </c>
      <c r="L115" s="165"/>
      <c r="O115" s="1" t="s">
        <v>136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65"/>
      <c r="O116" s="1" t="s">
        <v>137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65"/>
      <c r="O117" s="1" t="s">
        <v>138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61" t="str">
        <f>IF(VLOOKUP("тко",АО,3,FALSE)&gt;0,VLOOKUP("тко",АО,3,FALSE),0)</f>
        <v>Предоставляется</v>
      </c>
      <c r="E118" s="161"/>
      <c r="F118" s="13" t="str">
        <f>IF(VLOOKUP("тко",АО,3,FALSE)&gt;0,VLOOKUP("тко",АО,4,FALSE),0)</f>
        <v>куб.м.</v>
      </c>
      <c r="G118" s="162">
        <f>VLOOKUP("тко",АО,5,FALSE)</f>
        <v>129860.4</v>
      </c>
      <c r="H118" s="161"/>
      <c r="I118" s="161"/>
      <c r="J118" s="161"/>
      <c r="L118" s="48"/>
    </row>
    <row r="119" spans="1:15" ht="32.25" customHeight="1" outlineLevel="2">
      <c r="A119" s="156" t="str">
        <f t="shared" ref="A119:A125" si="8">IF(VLOOKUP("тко",АО,3,FALSE)&gt;0,VLOOKUP(O119,АО,2,FALSE),0)</f>
        <v>Общий объем потребления, нат. показ.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240.3</v>
      </c>
      <c r="L119" s="48"/>
      <c r="O119" s="1" t="s">
        <v>140</v>
      </c>
    </row>
    <row r="120" spans="1:15" ht="32.25" customHeight="1" outlineLevel="2">
      <c r="A120" s="156" t="str">
        <f t="shared" si="8"/>
        <v>Оплачено потребителями, руб.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132898.60999999999</v>
      </c>
      <c r="L120" s="48"/>
      <c r="O120" s="1" t="s">
        <v>141</v>
      </c>
    </row>
    <row r="121" spans="1:15" ht="32.25" customHeight="1" outlineLevel="2">
      <c r="A121" s="156" t="str">
        <f t="shared" si="8"/>
        <v>Задолженность потребителей, руб.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56" t="str">
        <f t="shared" si="8"/>
        <v>Начислено поставщиком (поставщиками) коммунального ресурса, руб.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129860.4</v>
      </c>
      <c r="L122" s="48"/>
      <c r="O122" s="1" t="s">
        <v>143</v>
      </c>
    </row>
    <row r="123" spans="1:15" ht="32.25" customHeight="1" outlineLevel="2">
      <c r="A123" s="156" t="str">
        <f t="shared" si="8"/>
        <v>Оплачено поставщику (поставщикам) коммунального ресурса, руб.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129860.4</v>
      </c>
      <c r="L123" s="48"/>
      <c r="O123" s="1" t="s">
        <v>144</v>
      </c>
    </row>
    <row r="124" spans="1:15" ht="32.25" customHeight="1" outlineLevel="2">
      <c r="A124" s="156" t="str">
        <f t="shared" si="8"/>
        <v>Задолженность перед поставщиком (поставщиками) коммунального ресурса, руб.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56" t="str">
        <f t="shared" si="8"/>
        <v>Размер пени и штрафов, уплаченных поставщику (поставщикам) коммунального ресурса, руб.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60">
        <f>IF(VLOOKUP("гвс",АО,3,FALSE)&gt;0,"Горячее водоснабжение",0)</f>
        <v>0</v>
      </c>
      <c r="B126" s="160"/>
      <c r="C126" s="160"/>
      <c r="D126" s="161">
        <f>IF(VLOOKUP("гвс",АО,3,FALSE)&gt;0,VLOOKUP("гвс",АО,3,FALSE),0)</f>
        <v>0</v>
      </c>
      <c r="E126" s="161"/>
      <c r="F126" s="13">
        <f>IF(VLOOKUP("гвс",АО,3,FALSE)&gt;0,VLOOKUP("гвс",АО,4,FALSE),0)</f>
        <v>0</v>
      </c>
      <c r="G126" s="162">
        <f>VLOOKUP("гвс",АО,5,FALSE)</f>
        <v>0</v>
      </c>
      <c r="H126" s="161"/>
      <c r="I126" s="161"/>
      <c r="J126" s="161"/>
      <c r="L126" s="48"/>
    </row>
    <row r="127" spans="1:15" ht="32.25" hidden="1" customHeight="1" outlineLevel="2">
      <c r="A127" s="156">
        <f t="shared" ref="A127:A133" si="10">IF(VLOOKUP("гвс",АО,3,FALSE)&gt;0,VLOOKUP(O127,АО,2,FALSE),0)</f>
        <v>0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56">
        <f t="shared" si="10"/>
        <v>0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56">
        <f t="shared" si="10"/>
        <v>0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56">
        <f t="shared" si="10"/>
        <v>0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56">
        <f t="shared" si="10"/>
        <v>0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56">
        <f t="shared" si="10"/>
        <v>0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56">
        <f t="shared" si="10"/>
        <v>0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61">
        <f>IF(VLOOKUP("отопление",АО,3,FALSE)&gt;0,VLOOKUP("отопление",АО,3,FALSE),0)</f>
        <v>0</v>
      </c>
      <c r="E134" s="161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1"/>
      <c r="I134" s="161"/>
      <c r="J134" s="161"/>
      <c r="L134" s="48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172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56" t="s">
        <v>175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18600</v>
      </c>
      <c r="O146" t="s">
        <v>174</v>
      </c>
    </row>
    <row r="149" spans="1:15" ht="52.5" customHeight="1">
      <c r="A149" s="181" t="s">
        <v>184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3" t="s">
        <v>190</v>
      </c>
      <c r="B154" s="183"/>
      <c r="C154" s="183"/>
      <c r="D154" s="183"/>
      <c r="E154" s="27">
        <f>ПТО!G1</f>
        <v>-441749.6</v>
      </c>
    </row>
    <row r="155" spans="1:15" ht="34.5" customHeight="1">
      <c r="A155" s="182" t="s">
        <v>194</v>
      </c>
      <c r="B155" s="182"/>
      <c r="C155" s="182"/>
      <c r="D155" s="182"/>
      <c r="E155" s="28">
        <f>J13</f>
        <v>166772.16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6" t="s">
        <v>19</v>
      </c>
      <c r="B157" s="166"/>
      <c r="C157" s="166"/>
      <c r="D157" s="166"/>
      <c r="E157" s="166"/>
      <c r="F157" s="166" t="s">
        <v>20</v>
      </c>
      <c r="G157" s="166"/>
      <c r="H157" s="20" t="s">
        <v>57</v>
      </c>
      <c r="I157" s="166" t="s">
        <v>21</v>
      </c>
      <c r="J157" s="166"/>
    </row>
    <row r="158" spans="1:15" ht="29.25" customHeight="1">
      <c r="A158" s="158" t="str">
        <f t="shared" ref="A158:A163" si="14">IF(N158&gt;0,N158,0)</f>
        <v>Техническое освидетельствование лифта.</v>
      </c>
      <c r="B158" s="158"/>
      <c r="C158" s="158"/>
      <c r="D158" s="158"/>
      <c r="E158" s="158"/>
      <c r="F158" s="163">
        <f t="shared" ref="F158:F163" si="15">IF(ISERROR(VLOOKUP(A158,$A$28:$J$72,6,FALSE)),0,VLOOKUP(A158,$A$28:$J$72,6,FALSE))</f>
        <v>8100</v>
      </c>
      <c r="G158" s="163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1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8" t="str">
        <f t="shared" si="14"/>
        <v>Техническое обслуживание системы видеонаблюдения.</v>
      </c>
      <c r="B159" s="158"/>
      <c r="C159" s="158"/>
      <c r="D159" s="158"/>
      <c r="E159" s="158"/>
      <c r="F159" s="163">
        <f t="shared" si="15"/>
        <v>5240</v>
      </c>
      <c r="G159" s="163"/>
      <c r="H159" s="24" t="str">
        <f t="shared" si="16"/>
        <v>ежемесячно</v>
      </c>
      <c r="I159" s="159">
        <f t="shared" si="17"/>
        <v>12</v>
      </c>
      <c r="J159" s="159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58" t="str">
        <f t="shared" si="14"/>
        <v>Механизированная уборка и вывоз снега с придомовой территории.</v>
      </c>
      <c r="B160" s="158"/>
      <c r="C160" s="158"/>
      <c r="D160" s="158"/>
      <c r="E160" s="158"/>
      <c r="F160" s="163">
        <f t="shared" si="15"/>
        <v>22980</v>
      </c>
      <c r="G160" s="163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8" t="str">
        <f>IF(N161&gt;0,N161,0)</f>
        <v>Ремонт карнизного балкона над кв.39.</v>
      </c>
      <c r="B161" s="158"/>
      <c r="C161" s="158"/>
      <c r="D161" s="158"/>
      <c r="E161" s="158"/>
      <c r="F161" s="163">
        <f t="shared" si="15"/>
        <v>38900</v>
      </c>
      <c r="G161" s="163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Ремонт карнизного балкона над кв.39.</v>
      </c>
    </row>
    <row r="162" spans="1:14" ht="28.5" customHeight="1">
      <c r="A162" s="158" t="str">
        <f t="shared" si="14"/>
        <v>Ремонт прибора учета тепловой энергии.</v>
      </c>
      <c r="B162" s="158"/>
      <c r="C162" s="158"/>
      <c r="D162" s="158"/>
      <c r="E162" s="158"/>
      <c r="F162" s="163">
        <f t="shared" si="15"/>
        <v>2370</v>
      </c>
      <c r="G162" s="163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58" t="str">
        <f t="shared" si="14"/>
        <v>Приобретение и замена предохранительных клапанов в ИТП (4 шт.).</v>
      </c>
      <c r="B163" s="158"/>
      <c r="C163" s="158"/>
      <c r="D163" s="158"/>
      <c r="E163" s="158"/>
      <c r="F163" s="163">
        <f t="shared" si="15"/>
        <v>670</v>
      </c>
      <c r="G163" s="163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72</v>
      </c>
      <c r="N163" s="1" t="str">
        <v>Приобретение и замена предохранительных клапанов в ИТП (4 шт.).</v>
      </c>
    </row>
    <row r="164" spans="1:14" ht="28.5" customHeight="1">
      <c r="A164" s="158" t="str">
        <f t="shared" ref="A164:A187" si="18">IF(N164&gt;0,N164,0)</f>
        <v>Приобретение и замена регистратора системы видеонаблюдения.</v>
      </c>
      <c r="B164" s="158"/>
      <c r="C164" s="158"/>
      <c r="D164" s="158"/>
      <c r="E164" s="158"/>
      <c r="F164" s="163">
        <f t="shared" ref="F164:F187" si="19">IF(ISERROR(VLOOKUP(A164,$A$28:$J$72,6,FALSE)),0,VLOOKUP(A164,$A$28:$J$72,6,FALSE))</f>
        <v>6921</v>
      </c>
      <c r="G164" s="163"/>
      <c r="H164" s="29" t="str">
        <f t="shared" si="16"/>
        <v>разово</v>
      </c>
      <c r="I164" s="159">
        <f t="shared" ref="I164:I187" si="20">VLOOKUP(A164,$A$28:$J$72,9,FALSE)</f>
        <v>1</v>
      </c>
      <c r="J164" s="159"/>
      <c r="M164" s="22" t="s">
        <v>72</v>
      </c>
      <c r="N164" s="1" t="str">
        <v>Приобретение и замена регистратора системы видеонаблюдения.</v>
      </c>
    </row>
    <row r="165" spans="1:14" ht="28.5" customHeight="1">
      <c r="A165" s="158" t="str">
        <f t="shared" si="18"/>
        <v>Промывка выпуска канализации.</v>
      </c>
      <c r="B165" s="158"/>
      <c r="C165" s="158"/>
      <c r="D165" s="158"/>
      <c r="E165" s="158"/>
      <c r="F165" s="163">
        <f t="shared" si="19"/>
        <v>16000</v>
      </c>
      <c r="G165" s="163"/>
      <c r="H165" s="29" t="str">
        <f t="shared" si="16"/>
        <v>разово</v>
      </c>
      <c r="I165" s="159">
        <f t="shared" si="20"/>
        <v>1</v>
      </c>
      <c r="J165" s="159"/>
      <c r="M165" s="22" t="s">
        <v>72</v>
      </c>
      <c r="N165" s="1" t="str">
        <v>Промывка выпуска канализации.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63">
        <f t="shared" si="19"/>
        <v>0</v>
      </c>
      <c r="G166" s="163"/>
      <c r="H166" s="29" t="e">
        <f t="shared" si="16"/>
        <v>#N/A</v>
      </c>
      <c r="I166" s="159" t="e">
        <f t="shared" si="20"/>
        <v>#N/A</v>
      </c>
      <c r="J166" s="159"/>
      <c r="M166" s="22" t="s">
        <v>72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63">
        <f t="shared" si="19"/>
        <v>0</v>
      </c>
      <c r="G167" s="163"/>
      <c r="H167" s="29" t="e">
        <f t="shared" si="16"/>
        <v>#N/A</v>
      </c>
      <c r="I167" s="159" t="e">
        <f t="shared" si="20"/>
        <v>#N/A</v>
      </c>
      <c r="J167" s="159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63">
        <f t="shared" si="19"/>
        <v>0</v>
      </c>
      <c r="G168" s="163"/>
      <c r="H168" s="29" t="e">
        <f t="shared" si="16"/>
        <v>#N/A</v>
      </c>
      <c r="I168" s="159" t="e">
        <f t="shared" si="20"/>
        <v>#N/A</v>
      </c>
      <c r="J168" s="159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63">
        <f t="shared" si="19"/>
        <v>0</v>
      </c>
      <c r="G169" s="163"/>
      <c r="H169" s="29" t="e">
        <f t="shared" si="16"/>
        <v>#N/A</v>
      </c>
      <c r="I169" s="159" t="e">
        <f t="shared" si="20"/>
        <v>#N/A</v>
      </c>
      <c r="J169" s="159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63">
        <f t="shared" si="19"/>
        <v>0</v>
      </c>
      <c r="G170" s="163"/>
      <c r="H170" s="29" t="e">
        <f t="shared" si="16"/>
        <v>#N/A</v>
      </c>
      <c r="I170" s="159" t="e">
        <f t="shared" si="20"/>
        <v>#N/A</v>
      </c>
      <c r="J170" s="159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63">
        <f t="shared" si="19"/>
        <v>0</v>
      </c>
      <c r="G171" s="163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63">
        <f t="shared" si="19"/>
        <v>0</v>
      </c>
      <c r="G172" s="163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63">
        <f t="shared" si="19"/>
        <v>0</v>
      </c>
      <c r="G173" s="163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63">
        <f t="shared" si="19"/>
        <v>0</v>
      </c>
      <c r="G174" s="163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63">
        <f t="shared" si="19"/>
        <v>0</v>
      </c>
      <c r="G175" s="163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63">
        <f t="shared" si="19"/>
        <v>0</v>
      </c>
      <c r="G176" s="163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63">
        <f t="shared" si="19"/>
        <v>0</v>
      </c>
      <c r="G177" s="163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63">
        <f t="shared" si="19"/>
        <v>0</v>
      </c>
      <c r="G178" s="163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63">
        <f t="shared" si="19"/>
        <v>0</v>
      </c>
      <c r="G179" s="163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63">
        <f t="shared" si="19"/>
        <v>0</v>
      </c>
      <c r="G180" s="163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63">
        <f t="shared" si="19"/>
        <v>0</v>
      </c>
      <c r="G181" s="163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63">
        <f t="shared" si="19"/>
        <v>0</v>
      </c>
      <c r="G182" s="163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63">
        <f t="shared" si="19"/>
        <v>0</v>
      </c>
      <c r="G183" s="163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63">
        <f t="shared" si="19"/>
        <v>0</v>
      </c>
      <c r="G184" s="163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63">
        <f t="shared" si="19"/>
        <v>0</v>
      </c>
      <c r="G185" s="163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63">
        <f t="shared" si="19"/>
        <v>0</v>
      </c>
      <c r="G186" s="163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63">
        <f t="shared" si="19"/>
        <v>0</v>
      </c>
      <c r="G187" s="163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83" t="s">
        <v>193</v>
      </c>
      <c r="B190" s="183"/>
      <c r="C190" s="183"/>
      <c r="D190" s="183"/>
      <c r="E190" s="27">
        <f>SUM(F158:G187)</f>
        <v>101181</v>
      </c>
    </row>
    <row r="191" spans="1:14" ht="51.75" customHeight="1">
      <c r="A191" s="183" t="s">
        <v>192</v>
      </c>
      <c r="B191" s="183"/>
      <c r="C191" s="183"/>
      <c r="D191" s="183"/>
      <c r="E191" s="27">
        <f>E190+E154-E155</f>
        <v>-507340.76</v>
      </c>
    </row>
    <row r="192" spans="1:14">
      <c r="A192" s="104" t="s">
        <v>176</v>
      </c>
    </row>
    <row r="193" spans="1:10" ht="62.25" customHeight="1">
      <c r="A193" s="157" t="s">
        <v>191</v>
      </c>
      <c r="B193" s="157"/>
      <c r="C193" s="157"/>
      <c r="D193" s="157"/>
      <c r="E193" s="157"/>
      <c r="F193" s="157"/>
      <c r="G193" s="157"/>
      <c r="H193" s="157"/>
      <c r="I193" s="157"/>
      <c r="J193" s="157"/>
    </row>
    <row r="194" spans="1:10">
      <c r="A194" s="155" t="str">
        <f>ПТО!F12</f>
        <v xml:space="preserve">  -  поверка (замена) манометров и термометров</v>
      </c>
      <c r="B194" s="155"/>
      <c r="C194" s="155"/>
      <c r="D194" s="155"/>
      <c r="E194" s="155"/>
      <c r="F194" s="155"/>
      <c r="G194" s="155"/>
      <c r="H194" s="49">
        <f>ПТО!G12</f>
        <v>1200</v>
      </c>
      <c r="I194" s="50" t="s">
        <v>75</v>
      </c>
    </row>
    <row r="195" spans="1:10" ht="18.75" customHeight="1">
      <c r="A195" s="155" t="str">
        <f>ПТО!F13</f>
        <v xml:space="preserve">  -  техническое освидетельствование лифта</v>
      </c>
      <c r="B195" s="155"/>
      <c r="C195" s="155"/>
      <c r="D195" s="155"/>
      <c r="E195" s="155"/>
      <c r="F195" s="155"/>
      <c r="G195" s="155"/>
      <c r="H195" s="49">
        <f>ПТО!G13</f>
        <v>8100</v>
      </c>
      <c r="I195" s="50" t="s">
        <v>75</v>
      </c>
    </row>
    <row r="196" spans="1:10" ht="18.75" customHeight="1">
      <c r="A196" s="155" t="str">
        <f>ПТО!F14</f>
        <v xml:space="preserve">  -  техническое обслуживание системы видеонаблюдения</v>
      </c>
      <c r="B196" s="155"/>
      <c r="C196" s="155"/>
      <c r="D196" s="155"/>
      <c r="E196" s="155"/>
      <c r="F196" s="155"/>
      <c r="G196" s="155"/>
      <c r="H196" s="49">
        <f>ПТО!G14</f>
        <v>5240</v>
      </c>
      <c r="I196" s="50" t="s">
        <v>75</v>
      </c>
    </row>
    <row r="197" spans="1:10" ht="38.25" customHeight="1">
      <c r="A197" s="155" t="str">
        <f>ПТО!F15</f>
        <v xml:space="preserve">  -  механизированная уборка и вывоз снега с придомовой территории</v>
      </c>
      <c r="B197" s="155"/>
      <c r="C197" s="155"/>
      <c r="D197" s="155"/>
      <c r="E197" s="155"/>
      <c r="F197" s="155"/>
      <c r="G197" s="155"/>
      <c r="H197" s="49">
        <f>ПТО!G15</f>
        <v>25000</v>
      </c>
      <c r="I197" s="50" t="s">
        <v>75</v>
      </c>
    </row>
    <row r="198" spans="1:10" ht="18.75" customHeight="1">
      <c r="A198" s="155" t="str">
        <f>ПТО!F16</f>
        <v xml:space="preserve">  -  ремонт отмостки </v>
      </c>
      <c r="B198" s="155"/>
      <c r="C198" s="155"/>
      <c r="D198" s="155"/>
      <c r="E198" s="155"/>
      <c r="F198" s="155"/>
      <c r="G198" s="155"/>
      <c r="H198" s="49">
        <f>ПТО!G16</f>
        <v>30000</v>
      </c>
      <c r="I198" s="52" t="s">
        <v>75</v>
      </c>
    </row>
    <row r="199" spans="1:10" ht="18.75" customHeight="1">
      <c r="A199" s="155" t="str">
        <f>ПТО!F17</f>
        <v xml:space="preserve">  -  ремонт подъезда (2-10 этаж)</v>
      </c>
      <c r="B199" s="155"/>
      <c r="C199" s="155"/>
      <c r="D199" s="155"/>
      <c r="E199" s="155"/>
      <c r="F199" s="155"/>
      <c r="G199" s="155"/>
      <c r="H199" s="49">
        <f>ПТО!G17</f>
        <v>500000</v>
      </c>
      <c r="I199" s="50" t="s">
        <v>75</v>
      </c>
    </row>
    <row r="200" spans="1:10">
      <c r="A200" s="155" t="str">
        <f>ПТО!F18</f>
        <v xml:space="preserve">  -  замена кранов шаровых на стояках</v>
      </c>
      <c r="B200" s="155"/>
      <c r="C200" s="155"/>
      <c r="D200" s="155"/>
      <c r="E200" s="155"/>
      <c r="F200" s="155"/>
      <c r="G200" s="155"/>
      <c r="H200" s="49">
        <f>ПТО!G18</f>
        <v>65000</v>
      </c>
      <c r="I200" s="50" t="s">
        <v>75</v>
      </c>
    </row>
    <row r="201" spans="1:10" hidden="1">
      <c r="A201" s="155">
        <f>ПТО!F19</f>
        <v>0</v>
      </c>
      <c r="B201" s="155"/>
      <c r="C201" s="155"/>
      <c r="D201" s="155"/>
      <c r="E201" s="155"/>
      <c r="F201" s="155"/>
      <c r="G201" s="155"/>
      <c r="H201" s="49">
        <f>ПТО!G19</f>
        <v>0</v>
      </c>
      <c r="I201" s="50" t="s">
        <v>75</v>
      </c>
    </row>
    <row r="202" spans="1:10" hidden="1">
      <c r="A202" s="155">
        <f>ПТО!F20</f>
        <v>0</v>
      </c>
      <c r="B202" s="155"/>
      <c r="C202" s="155"/>
      <c r="D202" s="155"/>
      <c r="E202" s="155"/>
      <c r="F202" s="155"/>
      <c r="G202" s="155"/>
      <c r="H202" s="49">
        <f>ПТО!G20</f>
        <v>0</v>
      </c>
      <c r="I202" s="50" t="s">
        <v>75</v>
      </c>
    </row>
    <row r="203" spans="1:10" hidden="1">
      <c r="A203" s="155">
        <f>ПТО!F21</f>
        <v>0</v>
      </c>
      <c r="B203" s="155"/>
      <c r="C203" s="155"/>
      <c r="D203" s="155"/>
      <c r="E203" s="155"/>
      <c r="F203" s="155"/>
      <c r="G203" s="155"/>
      <c r="H203" s="49">
        <f>ПТО!G21</f>
        <v>0</v>
      </c>
      <c r="I203" s="50" t="s">
        <v>75</v>
      </c>
    </row>
    <row r="204" spans="1:10" hidden="1">
      <c r="A204" s="155">
        <f>ПТО!F22</f>
        <v>0</v>
      </c>
      <c r="B204" s="155"/>
      <c r="C204" s="155"/>
      <c r="D204" s="155"/>
      <c r="E204" s="155"/>
      <c r="F204" s="155"/>
      <c r="G204" s="155"/>
      <c r="H204" s="49">
        <f>ПТО!G22</f>
        <v>0</v>
      </c>
      <c r="I204" s="50" t="s">
        <v>75</v>
      </c>
    </row>
    <row r="205" spans="1:10" hidden="1">
      <c r="A205" s="155">
        <f>ПТО!F23</f>
        <v>0</v>
      </c>
      <c r="B205" s="155"/>
      <c r="C205" s="155"/>
      <c r="D205" s="155"/>
      <c r="E205" s="155"/>
      <c r="F205" s="155"/>
      <c r="G205" s="155"/>
      <c r="H205" s="49">
        <f>ПТО!G23</f>
        <v>0</v>
      </c>
      <c r="I205" s="50" t="s">
        <v>75</v>
      </c>
    </row>
    <row r="206" spans="1:10" hidden="1">
      <c r="A206" s="155">
        <f>ПТО!F24</f>
        <v>0</v>
      </c>
      <c r="B206" s="155"/>
      <c r="C206" s="155"/>
      <c r="D206" s="155"/>
      <c r="E206" s="155"/>
      <c r="F206" s="155"/>
      <c r="G206" s="155"/>
      <c r="H206" s="49">
        <f>ПТО!G24</f>
        <v>0</v>
      </c>
      <c r="I206" s="50" t="s">
        <v>75</v>
      </c>
    </row>
    <row r="207" spans="1:10" hidden="1">
      <c r="A207" s="155">
        <f>ПТО!F25</f>
        <v>0</v>
      </c>
      <c r="B207" s="155"/>
      <c r="C207" s="155"/>
      <c r="D207" s="155"/>
      <c r="E207" s="155"/>
      <c r="F207" s="155"/>
      <c r="G207" s="155"/>
      <c r="H207" s="49">
        <f>ПТО!G25</f>
        <v>0</v>
      </c>
      <c r="I207" s="50" t="s">
        <v>75</v>
      </c>
    </row>
    <row r="208" spans="1:10" hidden="1">
      <c r="A208" s="155">
        <f>ПТО!F26</f>
        <v>0</v>
      </c>
      <c r="B208" s="155"/>
      <c r="C208" s="155"/>
      <c r="D208" s="155"/>
      <c r="E208" s="155"/>
      <c r="F208" s="155"/>
      <c r="G208" s="155"/>
      <c r="H208" s="49">
        <f>ПТО!G26</f>
        <v>0</v>
      </c>
      <c r="I208" s="50" t="s">
        <v>75</v>
      </c>
    </row>
    <row r="209" spans="1:9" hidden="1">
      <c r="A209" s="155">
        <f>ПТО!F27</f>
        <v>0</v>
      </c>
      <c r="B209" s="155"/>
      <c r="C209" s="155"/>
      <c r="D209" s="155"/>
      <c r="E209" s="155"/>
      <c r="F209" s="155"/>
      <c r="G209" s="155"/>
      <c r="H209" s="49">
        <f>ПТО!G27</f>
        <v>0</v>
      </c>
      <c r="I209" s="50" t="s">
        <v>75</v>
      </c>
    </row>
    <row r="210" spans="1:9" hidden="1">
      <c r="A210" s="155">
        <f>ПТО!F28</f>
        <v>0</v>
      </c>
      <c r="B210" s="155"/>
      <c r="C210" s="155"/>
      <c r="D210" s="155"/>
      <c r="E210" s="155"/>
      <c r="F210" s="155"/>
      <c r="G210" s="155"/>
      <c r="H210" s="49">
        <f>ПТО!G28</f>
        <v>0</v>
      </c>
      <c r="I210" s="50" t="s">
        <v>75</v>
      </c>
    </row>
    <row r="211" spans="1:9" hidden="1">
      <c r="A211" s="155">
        <f>ПТО!F29</f>
        <v>0</v>
      </c>
      <c r="B211" s="155"/>
      <c r="C211" s="155"/>
      <c r="D211" s="155"/>
      <c r="E211" s="155"/>
      <c r="F211" s="155"/>
      <c r="G211" s="155"/>
      <c r="H211" s="49">
        <f>ПТО!G29</f>
        <v>0</v>
      </c>
      <c r="I211" s="50" t="s">
        <v>75</v>
      </c>
    </row>
    <row r="212" spans="1:9" hidden="1">
      <c r="A212" s="155">
        <f>ПТО!F30</f>
        <v>0</v>
      </c>
      <c r="B212" s="155"/>
      <c r="C212" s="155"/>
      <c r="D212" s="155"/>
      <c r="E212" s="155"/>
      <c r="F212" s="155"/>
      <c r="G212" s="155"/>
      <c r="H212" s="49">
        <f>ПТО!G30</f>
        <v>0</v>
      </c>
      <c r="I212" s="50" t="s">
        <v>75</v>
      </c>
    </row>
    <row r="213" spans="1:9" hidden="1">
      <c r="A213" s="155">
        <f>ПТО!F31</f>
        <v>0</v>
      </c>
      <c r="B213" s="155"/>
      <c r="C213" s="155"/>
      <c r="D213" s="155"/>
      <c r="E213" s="155"/>
      <c r="F213" s="155"/>
      <c r="G213" s="155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634540</v>
      </c>
      <c r="I214" s="56" t="s">
        <v>79</v>
      </c>
    </row>
  </sheetData>
  <sheetProtection algorithmName="SHA-512" hashValue="br2E7/1WLrxdXeo9AL1MHAtHYLd0bomCbw2z+b+V3vTETMMLqBrOOZAKqeNuKUd+R8lPTqd3vvtxuJ/CGYfSBQ==" saltValue="K4cC8uleR+V5NLdQw4Xvqg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6" sqref="F1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190</v>
      </c>
      <c r="G1" s="101">
        <f>-441749.6</f>
        <v>-441749.6</v>
      </c>
    </row>
    <row r="2" spans="1:12" ht="18.75" customHeight="1">
      <c r="A2" s="143" t="s">
        <v>73</v>
      </c>
      <c r="B2" s="144" t="s">
        <v>181</v>
      </c>
      <c r="C2" s="144">
        <v>1</v>
      </c>
      <c r="D2" s="145">
        <v>8100</v>
      </c>
      <c r="E2" s="118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180</v>
      </c>
      <c r="B3" s="132" t="s">
        <v>182</v>
      </c>
      <c r="C3" s="133">
        <v>12</v>
      </c>
      <c r="D3" s="134">
        <v>5240</v>
      </c>
      <c r="E3" s="130"/>
      <c r="F3" s="30"/>
      <c r="G3" s="30"/>
      <c r="L3" s="33" t="str">
        <f t="shared" si="0"/>
        <v>ТР</v>
      </c>
    </row>
    <row r="4" spans="1:12" ht="18.75" customHeight="1">
      <c r="A4" s="141" t="s">
        <v>186</v>
      </c>
      <c r="B4" s="142" t="s">
        <v>185</v>
      </c>
      <c r="C4" s="43">
        <v>1</v>
      </c>
      <c r="D4" s="47">
        <v>22980</v>
      </c>
      <c r="E4" s="45" t="s">
        <v>199</v>
      </c>
      <c r="F4" s="30"/>
      <c r="G4" s="30"/>
      <c r="L4" s="33" t="str">
        <f t="shared" si="0"/>
        <v>ТР</v>
      </c>
    </row>
    <row r="5" spans="1:12" ht="18.75" customHeight="1">
      <c r="A5" s="154" t="s">
        <v>205</v>
      </c>
      <c r="B5" s="148" t="s">
        <v>185</v>
      </c>
      <c r="C5" s="139">
        <v>1</v>
      </c>
      <c r="D5" s="140">
        <v>38900</v>
      </c>
      <c r="E5" s="149"/>
      <c r="F5" s="45"/>
      <c r="G5" s="45"/>
      <c r="K5" s="47"/>
      <c r="L5" s="33" t="str">
        <f t="shared" si="0"/>
        <v>ТР</v>
      </c>
    </row>
    <row r="6" spans="1:12" ht="18.75" customHeight="1">
      <c r="A6" s="146" t="s">
        <v>196</v>
      </c>
      <c r="B6" s="147" t="s">
        <v>185</v>
      </c>
      <c r="C6" s="43">
        <v>1</v>
      </c>
      <c r="D6" s="47">
        <v>2370</v>
      </c>
      <c r="E6" s="118" t="s">
        <v>201</v>
      </c>
      <c r="F6" s="45"/>
      <c r="G6" s="45"/>
      <c r="K6" s="47"/>
      <c r="L6" s="33" t="str">
        <f t="shared" si="0"/>
        <v>ТР</v>
      </c>
    </row>
    <row r="7" spans="1:12" ht="18.75" customHeight="1">
      <c r="A7" s="150" t="s">
        <v>195</v>
      </c>
      <c r="B7" s="151" t="s">
        <v>185</v>
      </c>
      <c r="C7" s="43">
        <v>1</v>
      </c>
      <c r="D7" s="47">
        <v>670</v>
      </c>
      <c r="E7" s="118" t="s">
        <v>202</v>
      </c>
      <c r="F7" s="46"/>
      <c r="G7" s="46"/>
      <c r="K7" s="47"/>
      <c r="L7" s="33" t="str">
        <f t="shared" si="0"/>
        <v>ТР</v>
      </c>
    </row>
    <row r="8" spans="1:12" ht="18.75" customHeight="1">
      <c r="A8" s="137" t="s">
        <v>197</v>
      </c>
      <c r="B8" s="138" t="s">
        <v>185</v>
      </c>
      <c r="C8" s="135">
        <v>1</v>
      </c>
      <c r="D8" s="136">
        <v>6921</v>
      </c>
      <c r="E8" s="130" t="s">
        <v>198</v>
      </c>
      <c r="F8" s="46"/>
      <c r="G8" s="46"/>
      <c r="K8" s="44"/>
      <c r="L8" s="33" t="str">
        <f t="shared" si="0"/>
        <v>ТР</v>
      </c>
    </row>
    <row r="9" spans="1:12">
      <c r="A9" s="152" t="s">
        <v>203</v>
      </c>
      <c r="B9" s="153" t="s">
        <v>185</v>
      </c>
      <c r="C9" s="43">
        <v>1</v>
      </c>
      <c r="D9" s="47">
        <v>16000</v>
      </c>
      <c r="E9" s="118" t="s">
        <v>204</v>
      </c>
      <c r="F9" s="45"/>
      <c r="G9" s="45"/>
      <c r="K9" s="44"/>
      <c r="L9" s="33" t="str">
        <f t="shared" si="0"/>
        <v>ТР</v>
      </c>
    </row>
    <row r="10" spans="1:12">
      <c r="A10" s="30"/>
      <c r="L10" s="33">
        <f t="shared" si="0"/>
        <v>0</v>
      </c>
    </row>
    <row r="11" spans="1:12" ht="94.5">
      <c r="A11" s="119"/>
      <c r="B11" s="120"/>
      <c r="C11" s="43"/>
      <c r="D11" s="47"/>
      <c r="E11" s="118"/>
      <c r="F11" s="111" t="s">
        <v>191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77</v>
      </c>
      <c r="G14" s="114">
        <v>5240</v>
      </c>
      <c r="L14" s="33">
        <f t="shared" si="0"/>
        <v>0</v>
      </c>
    </row>
    <row r="15" spans="1:12" ht="15.75">
      <c r="A15" s="30"/>
      <c r="F15" s="127" t="s">
        <v>189</v>
      </c>
      <c r="G15" s="129">
        <v>25000</v>
      </c>
      <c r="L15" s="33">
        <f t="shared" si="0"/>
        <v>0</v>
      </c>
    </row>
    <row r="16" spans="1:12" ht="15.75">
      <c r="A16" s="30"/>
      <c r="F16" s="128" t="s">
        <v>187</v>
      </c>
      <c r="G16" s="129">
        <v>30000</v>
      </c>
      <c r="L16" s="33">
        <f t="shared" si="0"/>
        <v>0</v>
      </c>
    </row>
    <row r="17" spans="1:12" ht="15.75">
      <c r="A17" s="30"/>
      <c r="F17" s="128" t="s">
        <v>188</v>
      </c>
      <c r="G17" s="129">
        <v>500000</v>
      </c>
      <c r="L17" s="33">
        <f t="shared" si="0"/>
        <v>0</v>
      </c>
    </row>
    <row r="18" spans="1:12" ht="15.75">
      <c r="A18" s="30"/>
      <c r="F18" s="112" t="s">
        <v>206</v>
      </c>
      <c r="G18" s="113">
        <v>65000</v>
      </c>
      <c r="L18" s="33">
        <f t="shared" si="0"/>
        <v>0</v>
      </c>
    </row>
    <row r="19" spans="1:12" ht="15.75">
      <c r="A19" s="30"/>
      <c r="F19" s="112"/>
      <c r="G19" s="11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189127.32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189127.32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67800.36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67800.36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45319.199999999997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45319.199999999997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42821.279999999999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42821.279999999999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12489.6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12489.6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46746.6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46746.6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142380.72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142380.72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1"/>
      <c r="C47" s="122"/>
      <c r="D47" s="123"/>
      <c r="E47" s="121">
        <v>432.1</v>
      </c>
      <c r="F47" s="121">
        <v>383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25">
        <v>3036.5</v>
      </c>
      <c r="G53" s="124">
        <v>3.48</v>
      </c>
      <c r="H53" s="31">
        <f>G53*E47/F53</f>
        <v>0.49521093364070479</v>
      </c>
      <c r="I53" s="125">
        <f>G53*E47</f>
        <v>1503.7080000000001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62.7</v>
      </c>
      <c r="H54" s="31">
        <f>H53*35.2</f>
        <v>17.43142486415281</v>
      </c>
      <c r="I54" s="31">
        <f>I53/F53</f>
        <v>0.49521093364070479</v>
      </c>
    </row>
    <row r="55" spans="5:16">
      <c r="I55" s="31">
        <f>I54*F54</f>
        <v>31.049725539272192</v>
      </c>
    </row>
    <row r="59" spans="5:16">
      <c r="E59" s="31">
        <v>0.19600000000000001</v>
      </c>
      <c r="F59" s="125">
        <f>F53</f>
        <v>3036.5</v>
      </c>
      <c r="G59" s="124">
        <v>3.2000000000000001E-2</v>
      </c>
      <c r="H59" s="31">
        <f>G59*F47</f>
        <v>12.256</v>
      </c>
      <c r="I59" s="31">
        <f>G59*F47</f>
        <v>12.256</v>
      </c>
    </row>
    <row r="60" spans="5:16">
      <c r="H60" s="31">
        <f>H59/F59</f>
        <v>4.0362259179976944E-3</v>
      </c>
      <c r="I60" s="31">
        <f>I59/F59</f>
        <v>4.0362259179976944E-3</v>
      </c>
    </row>
    <row r="61" spans="5:16">
      <c r="H61" s="31">
        <f>H60*35.2</f>
        <v>0.14207515231351886</v>
      </c>
      <c r="I61" s="31">
        <f>I60*F54</f>
        <v>0.25307136505845546</v>
      </c>
    </row>
    <row r="63" spans="5:16">
      <c r="E63" s="31">
        <v>0.19600000000000001</v>
      </c>
      <c r="F63" s="125">
        <f>F53</f>
        <v>3036.5</v>
      </c>
      <c r="G63" s="124">
        <v>3.2000000000000001E-2</v>
      </c>
      <c r="H63" s="31">
        <f>G63*F47</f>
        <v>12.256</v>
      </c>
      <c r="I63" s="31">
        <f>G59*F47</f>
        <v>12.256</v>
      </c>
    </row>
    <row r="64" spans="5:16">
      <c r="H64" s="31">
        <f>H63/F63</f>
        <v>4.0362259179976944E-3</v>
      </c>
      <c r="I64" s="31">
        <f>I63/F63</f>
        <v>4.0362259179976944E-3</v>
      </c>
    </row>
    <row r="65" spans="4:13" ht="18.75" customHeight="1">
      <c r="D65" s="99"/>
      <c r="H65" s="31">
        <f>H64*35.2</f>
        <v>0.14207515231351886</v>
      </c>
      <c r="I65" s="31">
        <f>I64*F59</f>
        <v>12.255999999999998</v>
      </c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25">
        <f>F53</f>
        <v>3036.5</v>
      </c>
      <c r="G66" s="124">
        <v>6.4000000000000001E-2</v>
      </c>
      <c r="H66" s="31">
        <f>G66*F47</f>
        <v>24.512</v>
      </c>
      <c r="I66" s="31">
        <f>G66*F47</f>
        <v>24.512</v>
      </c>
      <c r="J66" s="102"/>
      <c r="M66" s="1"/>
    </row>
    <row r="67" spans="4:13" ht="18.75" customHeight="1">
      <c r="D67" s="102"/>
      <c r="H67" s="31">
        <f>H66/F66</f>
        <v>8.0724518359953888E-3</v>
      </c>
      <c r="I67" s="31">
        <f>I66/F66</f>
        <v>8.0724518359953888E-3</v>
      </c>
      <c r="J67" s="102"/>
      <c r="M67" s="1"/>
    </row>
    <row r="68" spans="4:13" ht="18.75" customHeight="1">
      <c r="D68" s="102"/>
      <c r="H68" s="31">
        <f>H67*35.2</f>
        <v>0.28415030462703772</v>
      </c>
      <c r="I68" s="31">
        <f>I67*F66</f>
        <v>24.511999999999997</v>
      </c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tvGQOjaaqa5UbmWXH/KqvETqfIkEnN+oMgDDGbMOO6AbqCa+d2rXeENR9PqyKhOFC3vASgM9f4Ss6pqU5iSU6A==" saltValue="aa6byRyOTRDfl/0vXo8wJ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2932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120165.2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693837.72000000009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527065.56000000006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166772.16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743361.27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743361.27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743361.27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70641.650000000023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6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6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6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6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5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5"/>
      <c r="N26" s="63"/>
    </row>
    <row r="27" spans="1:15" ht="18.75" customHeight="1">
      <c r="A27" s="70" t="s">
        <v>107</v>
      </c>
      <c r="B27" s="75" t="s">
        <v>4</v>
      </c>
      <c r="C27" s="86">
        <v>27482.86</v>
      </c>
      <c r="D27" s="81" t="s">
        <v>60</v>
      </c>
      <c r="E27" s="64"/>
      <c r="F27" s="64"/>
      <c r="G27" s="64"/>
      <c r="H27" s="64"/>
      <c r="I27" s="64"/>
      <c r="J27" s="64"/>
      <c r="M27" s="185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5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5"/>
      <c r="N29" s="63"/>
    </row>
    <row r="30" spans="1:15" ht="18.75" customHeight="1">
      <c r="A30" s="70" t="s">
        <v>110</v>
      </c>
      <c r="B30" s="75" t="s">
        <v>18</v>
      </c>
      <c r="C30" s="86">
        <v>37018.89</v>
      </c>
      <c r="D30" s="81" t="s">
        <v>66</v>
      </c>
      <c r="E30" s="64"/>
      <c r="F30" s="64"/>
      <c r="G30" s="64"/>
      <c r="H30" s="64"/>
      <c r="I30" s="64"/>
      <c r="J30" s="64"/>
      <c r="M30" s="185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5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5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5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5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169</v>
      </c>
      <c r="G37" s="66"/>
      <c r="H37" s="66"/>
      <c r="I37" s="66"/>
      <c r="L37" s="63"/>
      <c r="M37" s="184"/>
      <c r="N37" s="63"/>
      <c r="O37" s="63"/>
    </row>
    <row r="38" spans="1:15" ht="18.75" customHeight="1">
      <c r="A38" s="70" t="s">
        <v>115</v>
      </c>
      <c r="B38" s="78" t="s">
        <v>37</v>
      </c>
      <c r="C38" s="90"/>
      <c r="D38" s="94" t="s">
        <v>167</v>
      </c>
      <c r="E38" s="68"/>
      <c r="G38" s="67"/>
      <c r="H38" s="67"/>
      <c r="L38" s="63"/>
      <c r="M38" s="184"/>
      <c r="N38" s="63"/>
      <c r="O38" s="63"/>
    </row>
    <row r="39" spans="1:15" ht="18.75" customHeight="1">
      <c r="A39" s="70" t="s">
        <v>116</v>
      </c>
      <c r="B39" s="78" t="s">
        <v>38</v>
      </c>
      <c r="C39" s="91"/>
      <c r="D39" s="94" t="s">
        <v>168</v>
      </c>
      <c r="E39" s="68"/>
      <c r="G39" s="67"/>
      <c r="H39" s="67"/>
      <c r="L39" s="63"/>
      <c r="M39" s="184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4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4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4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4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4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97857.84</v>
      </c>
      <c r="F45" s="94" t="s">
        <v>169</v>
      </c>
      <c r="G45" s="66"/>
      <c r="H45" s="66"/>
      <c r="L45" s="63"/>
      <c r="M45" s="184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6716.39</v>
      </c>
      <c r="D46" s="94" t="s">
        <v>170</v>
      </c>
      <c r="E46" s="68"/>
      <c r="G46" s="67"/>
      <c r="H46" s="67"/>
      <c r="L46" s="63"/>
      <c r="M46" s="184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94185.79</v>
      </c>
      <c r="D47" s="94" t="s">
        <v>168</v>
      </c>
      <c r="E47" s="68"/>
      <c r="G47" s="67"/>
      <c r="H47" s="67"/>
      <c r="L47" s="63"/>
      <c r="M47" s="184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3672.0500000000029</v>
      </c>
      <c r="D48" s="80" t="s">
        <v>59</v>
      </c>
      <c r="E48" s="68"/>
      <c r="G48" s="67"/>
      <c r="H48" s="67"/>
      <c r="L48" s="63"/>
      <c r="M48" s="184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97857.84</v>
      </c>
      <c r="D49" s="80" t="s">
        <v>59</v>
      </c>
      <c r="E49" s="68"/>
      <c r="G49" s="67"/>
      <c r="H49" s="67"/>
      <c r="L49" s="63"/>
      <c r="M49" s="184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97857.84</v>
      </c>
      <c r="D50" s="80" t="s">
        <v>59</v>
      </c>
      <c r="E50" s="68"/>
      <c r="G50" s="67"/>
      <c r="H50" s="67"/>
      <c r="L50" s="63"/>
      <c r="M50" s="184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4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4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129375.33</v>
      </c>
      <c r="F53" s="94" t="s">
        <v>169</v>
      </c>
      <c r="G53" s="66"/>
      <c r="H53" s="66"/>
      <c r="L53" s="63"/>
      <c r="M53" s="184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7305.21</v>
      </c>
      <c r="D54" s="94" t="s">
        <v>170</v>
      </c>
      <c r="E54" s="69"/>
      <c r="F54" s="89"/>
      <c r="G54" s="64"/>
      <c r="H54" s="64"/>
      <c r="L54" s="63"/>
      <c r="M54" s="184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120473.14</v>
      </c>
      <c r="D55" s="94" t="s">
        <v>168</v>
      </c>
      <c r="E55" s="69"/>
      <c r="G55" s="64"/>
      <c r="H55" s="64"/>
      <c r="L55" s="63"/>
      <c r="M55" s="184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8902.1900000000023</v>
      </c>
      <c r="D56" s="80" t="s">
        <v>59</v>
      </c>
      <c r="E56" s="126"/>
      <c r="G56" s="64"/>
      <c r="H56" s="64"/>
      <c r="L56" s="63"/>
      <c r="M56" s="184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129375.33</v>
      </c>
      <c r="D57" s="80" t="s">
        <v>59</v>
      </c>
      <c r="E57" s="126"/>
      <c r="G57" s="64"/>
      <c r="H57" s="64"/>
      <c r="L57" s="63"/>
      <c r="M57" s="184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129375.33</v>
      </c>
      <c r="D58" s="80" t="s">
        <v>59</v>
      </c>
      <c r="E58" s="69"/>
      <c r="G58" s="64"/>
      <c r="H58" s="64"/>
      <c r="L58" s="63"/>
      <c r="M58" s="184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4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4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129860.4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240.3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132898.60999999999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129860.4</v>
      </c>
      <c r="D65" s="80" t="s">
        <v>59</v>
      </c>
      <c r="E65" s="126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129860.4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/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/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/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/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/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/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18600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2024-03-29T01:34:29Z</dcterms:modified>
</cp:coreProperties>
</file>