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0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A101" i="1"/>
  <c r="A100" i="1"/>
  <c r="A98" i="1"/>
  <c r="A97" i="1"/>
  <c r="A96" i="1"/>
  <c r="G94" i="1"/>
  <c r="F94" i="1"/>
  <c r="D94" i="1"/>
  <c r="K94" i="1"/>
  <c r="A111" i="1" l="1"/>
  <c r="A115" i="1"/>
  <c r="A110" i="1"/>
  <c r="A119" i="1"/>
  <c r="A123" i="1"/>
  <c r="A118" i="1"/>
  <c r="D110" i="1"/>
  <c r="A116" i="1"/>
  <c r="A112" i="1"/>
  <c r="F110" i="1"/>
  <c r="A113" i="1"/>
  <c r="A117" i="1"/>
  <c r="A94" i="1"/>
  <c r="A95" i="1"/>
  <c r="A105" i="1"/>
  <c r="F134" i="1"/>
  <c r="A141" i="1"/>
  <c r="A137" i="1"/>
  <c r="D118" i="1"/>
  <c r="A124" i="1"/>
  <c r="F118" i="1"/>
  <c r="A121" i="1"/>
  <c r="A125" i="1"/>
  <c r="A122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<sst xmlns="http://schemas.openxmlformats.org/spreadsheetml/2006/main" count="566" uniqueCount="210">
  <si>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</si>
  <si>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</si>
  <si>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</si>
  <si>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</si>
  <si>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</si>
  <si>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</si>
  <si>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</si>
  <si>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</si>
  <si>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</si>
  <si>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</si>
  <si>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</si>
  <si>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</si>
  <si>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</si>
  <si>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</si>
  <si>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</si>
  <si>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</si>
  <si>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</si>
  <si>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</si>
  <si>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</si>
  <si>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</si>
  <si>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</si>
  <si>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</si>
  <si>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</si>
  <si>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</si>
  <si>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</si>
  <si>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</si>
  <si>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</si>
  <si>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</si>
  <si>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</si>
  <si>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</si>
  <si>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</si>
  <si>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</si>
  <si>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</si>
  <si>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</si>
  <si>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</si>
  <si>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</si>
  <si>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</si>
  <si>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</si>
  <si>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</si>
  <si>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</si>
  <si>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</si>
  <si>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</si>
  <si>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</si>
  <si>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</si>
  <si>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</si>
  <si>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</si>
  <si>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</si>
  <si>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</si>
  <si>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</si>
  <si>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</si>
  <si>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</si>
  <si>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</si>
  <si>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</si>
  <si>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</si>
  <si>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</si>
  <si>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</si>
  <si>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</si>
  <si>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</si>
  <si>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</si>
  <si>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</si>
  <si>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</si>
  <si>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</si>
  <si>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</si>
  <si>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</si>
  <si>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</si>
  <si>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</si>
  <si>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</si>
  <si>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</si>
  <si>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</si>
  <si>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</si>
  <si>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</si>
  <si>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</si>
  <si>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</si>
  <si>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</si>
  <si>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</si>
  <si>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</si>
  <si>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</si>
  <si>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</si>
  <si>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</si>
  <si>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</si>
  <si>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</si>
  <si>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</si>
  <si>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</si>
  <si>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</si>
  <si>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</si>
  <si>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</si>
  <si>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</si>
  <si>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</si>
  <si>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</si>
  <si>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</si>
  <si>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</si>
  <si>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</si>
  <si>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</si>
  <si>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</si>
  <si>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</si>
  <si>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</si>
  <si>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</si>
  <si>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</si>
  <si>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</si>
  <si>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</si>
  <si>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</si>
  <si>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</si>
  <si>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</si>
  <si>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</si>
  <si>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</si>
  <si>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</si>
  <si>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</si>
  <si>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</si>
  <si>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</si>
  <si>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</si>
  <si>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</si>
  <si>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</si>
  <si>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</si>
  <si>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</si>
  <si>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</si>
  <si>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</si>
  <si>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</si>
  <si>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</si>
  <si>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</si>
  <si>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</si>
  <si>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</si>
  <si>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</si>
  <si>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</si>
  <si>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</si>
  <si>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</si>
  <si>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</si>
  <si>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</si>
  <si>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</si>
  <si>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</si>
  <si>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</si>
  <si>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</si>
  <si>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</si>
  <si>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</si>
  <si>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</si>
  <si>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</si>
  <si>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</si>
  <si>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</si>
  <si>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</si>
  <si>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</si>
  <si>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</si>
  <si>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</si>
  <si>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</si>
  <si>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</si>
  <si>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</si>
  <si>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</si>
  <si>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</si>
  <si>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</si>
  <si>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</si>
  <si>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</si>
  <si>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</si>
  <si>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</si>
  <si>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</si>
  <si>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</si>
  <si>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</si>
  <si>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</si>
  <si>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</si>
  <si>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</si>
  <si>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</si>
  <si>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</si>
  <si>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</si>
  <si>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</si>
  <si>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</si>
  <si>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</si>
  <si>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</si>
  <si>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</si>
  <si>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</si>
  <si>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</si>
  <si>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</si>
  <si>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</si>
  <si>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</si>
  <si>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</si>
  <si>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</si>
  <si>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</si>
  <si>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</si>
  <si>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</si>
  <si>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31/1</t>
  </si>
  <si>
    <t>площадь дома</t>
  </si>
  <si>
    <t>Отчет об исполнении договора управления многоквартирного дома 
Мамина-Сибиряка, 31/1 в части текущего ремонта</t>
  </si>
  <si>
    <t>разово</t>
  </si>
  <si>
    <t>лифты</t>
  </si>
  <si>
    <t>охрана</t>
  </si>
  <si>
    <t>с 01.06.2022 в содержании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</si>
  <si>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</si>
  <si>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</si>
  <si>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</si>
  <si>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</si>
  <si>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</si>
  <si>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</si>
  <si>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</si>
  <si>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Промышленная очистка кровли от снега и наледи.</t>
  </si>
  <si>
    <t>АВР 1/23 от 20.02.2023, Решение</t>
  </si>
  <si>
    <t>АВР 2/23 от 20.02.2023, Решение</t>
  </si>
  <si>
    <t>Замена лампы уличного освещения.</t>
  </si>
  <si>
    <t>Ремонт подъезда.</t>
  </si>
  <si>
    <t>АВР 3/23 от 14.04.2023, Решение</t>
  </si>
  <si>
    <t>АВР 4/23 от 25.04.2023, Решение, смета</t>
  </si>
  <si>
    <t>Диагностика коллективной системы телевидения.</t>
  </si>
  <si>
    <t>АВР 6/23 от 16.06.2023, Решение</t>
  </si>
  <si>
    <t>Установка антенны Эфир 18F и телевизионный усилитель.</t>
  </si>
  <si>
    <t>Замена контактора управления лифта (2шт.).</t>
  </si>
  <si>
    <t>АВР 5/23 от 14.06.2023, Решение, счет №0608-Л123 от 08.06.2023</t>
  </si>
  <si>
    <t>Установка желоба на кровле.</t>
  </si>
  <si>
    <t>Приобретение и замена обратного  клапана (Ду 40).</t>
  </si>
  <si>
    <t>Приобретение и замена шаровых кранов (Ду65 и Ду50).</t>
  </si>
  <si>
    <t>Ремонт прибора учета тепловой энергии.</t>
  </si>
  <si>
    <t>АВР 7/23 от 27.09.2023, Решение, счет №109 от 09.08.2023</t>
  </si>
  <si>
    <t>АВР 8/23 от 16.06.2023, Решение, счет №421 от 05.06.2023</t>
  </si>
  <si>
    <t>АВР 9/23 от 13.06.2023, Решение, счет №4397 от 13.06.2023</t>
  </si>
  <si>
    <t>АВР 10/23 от 07.08.2023, Решение, счет №3312 от 03.08.2023</t>
  </si>
  <si>
    <t>АВР 11/23 от 07.08.2023, Решение, счет №307 от 03.08.2023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</si>
</sst>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</cellStyleXfs>
  <cellXfs count="194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4" fontId="26" fillId="3" borderId="0" xfId="0" applyNumberFormat="1" applyFont="1" applyFill="1"/>
    <xf numFmtId="0" fontId="27" fillId="3" borderId="0" xfId="0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36" fillId="3" borderId="0" xfId="11" applyNumberFormat="1" applyFont="1" applyFill="1" applyBorder="1" applyAlignment="1">
      <alignment horizontal="left" vertical="center" wrapText="1"/>
    </xf>
    <xf numFmtId="0" fontId="21" fillId="0" borderId="0" xfId="4" applyFill="1" applyBorder="1" applyAlignment="1">
      <alignment horizontal="center"/>
    </xf>
    <xf numFmtId="0" fontId="20" fillId="0" borderId="0" xfId="5" applyNumberFormat="1" applyFill="1" applyBorder="1" applyAlignment="1">
      <alignment horizontal="center"/>
    </xf>
    <xf numFmtId="4" fontId="20" fillId="0" borderId="0" xfId="5" applyNumberFormat="1" applyFill="1" applyBorder="1" applyAlignment="1">
      <alignment vertical="center"/>
    </xf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34" fillId="0" borderId="0" xfId="5" applyNumberFormat="1" applyFont="1" applyFill="1" applyBorder="1" applyAlignment="1">
      <alignment horizontal="center" vertical="center"/>
    </xf>
    <xf numFmtId="4" fontId="20" fillId="0" borderId="0" xfId="5" applyNumberFormat="1" applyFill="1" applyBorder="1" applyAlignment="1"/>
    <xf numFmtId="4" fontId="26" fillId="0" borderId="0" xfId="0" applyNumberFormat="1" applyFont="1" applyBorder="1"/>
    <xf numFmtId="0" fontId="16" fillId="0" borderId="0" xfId="33" applyFont="1" applyFill="1" applyBorder="1" applyAlignment="1"/>
    <xf numFmtId="0" fontId="16" fillId="0" borderId="0" xfId="33" applyFont="1" applyFill="1" applyBorder="1" applyAlignment="1">
      <alignment horizontal="center"/>
    </xf>
    <xf numFmtId="0" fontId="16" fillId="0" borderId="0" xfId="33" applyNumberFormat="1" applyFill="1" applyBorder="1" applyAlignment="1">
      <alignment horizontal="center"/>
    </xf>
    <xf numFmtId="4" fontId="16" fillId="0" borderId="0" xfId="33" applyNumberFormat="1" applyFill="1" applyBorder="1" applyAlignment="1">
      <alignment vertical="center"/>
    </xf>
    <xf numFmtId="0" fontId="16" fillId="0" borderId="0" xfId="33" applyFont="1" applyFill="1" applyBorder="1"/>
    <xf numFmtId="0" fontId="15" fillId="0" borderId="0" xfId="5" applyFont="1" applyFill="1" applyBorder="1"/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1" fillId="0" borderId="0" xfId="4" applyFont="1" applyFill="1" applyBorder="1" applyAlignment="1">
      <alignment horizontal="center"/>
    </xf>
    <xf numFmtId="0" fontId="10" fillId="0" borderId="0" xfId="5" applyFont="1" applyFill="1" applyBorder="1"/>
    <xf numFmtId="0" fontId="9" fillId="0" borderId="0" xfId="4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0" fontId="7" fillId="0" borderId="0" xfId="5" applyFont="1" applyFill="1" applyBorder="1"/>
    <xf numFmtId="0" fontId="5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34" fillId="0" borderId="0" xfId="4" applyFont="1" applyFill="1" applyBorder="1" applyAlignment="1">
      <alignment horizontal="center"/>
    </xf>
    <xf numFmtId="0" fontId="2" fillId="0" borderId="0" xfId="5" applyFont="1" applyFill="1" applyBorder="1"/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1" fillId="0" borderId="0" xfId="5" applyFont="1" applyFill="1" applyBorder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/>
    <xf numFmtId="0" fontId="4" fillId="0" borderId="0" xfId="37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26" fillId="0" borderId="1" xfId="0" applyFont="1" applyBorder="1" applyAlignment="1">
      <alignment horizontal="left" wrapText="1"/>
    </xf>
    <xf numFmtId="0" fontId="26" fillId="0" borderId="1" xfId="1" applyFont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38">
    <cellStyle name="Обычный" xfId="0" builtinId="0"/>
    <cellStyle name="Обычный 2" xfId="1"/>
    <cellStyle name="Обычный 2 2" xfId="3"/>
    <cellStyle name="Обычный 2 3" xfId="6"/>
    <cellStyle name="Обычный 2 3 2" xfId="24"/>
    <cellStyle name="Обычный 2 3 3" xfId="16"/>
    <cellStyle name="Обычный 2 4" xfId="20"/>
    <cellStyle name="Обычный 2 5" xfId="11"/>
    <cellStyle name="Обычный 2 5 2" xfId="35"/>
    <cellStyle name="Обычный 2 5 3" xfId="29"/>
    <cellStyle name="Обычный 2 6" xfId="30"/>
    <cellStyle name="Обычный 2 7" xfId="12"/>
    <cellStyle name="Обычный 3" xfId="2"/>
    <cellStyle name="Обычный 3 2" xfId="7"/>
    <cellStyle name="Обычный 3 2 2" xfId="25"/>
    <cellStyle name="Обычный 3 2 3" xfId="17"/>
    <cellStyle name="Обычный 3 3" xfId="21"/>
    <cellStyle name="Обычный 3 4" xfId="31"/>
    <cellStyle name="Обычный 3 5" xfId="13"/>
    <cellStyle name="Обычный 4" xfId="4"/>
    <cellStyle name="Обычный 4 2" xfId="8"/>
    <cellStyle name="Обычный 4 2 2" xfId="26"/>
    <cellStyle name="Обычный 4 2 3" xfId="18"/>
    <cellStyle name="Обычный 4 3" xfId="22"/>
    <cellStyle name="Обычный 4 4" xfId="32"/>
    <cellStyle name="Обычный 4 5" xfId="14"/>
    <cellStyle name="Обычный 5" xfId="5"/>
    <cellStyle name="Обычный 5 10" xfId="37"/>
    <cellStyle name="Обычный 5 2" xfId="10"/>
    <cellStyle name="Обычный 5 2 2" xfId="28"/>
    <cellStyle name="Обычный 5 2 3" xfId="34"/>
    <cellStyle name="Обычный 5 2 4" xfId="19"/>
    <cellStyle name="Обычный 5 3" xfId="9"/>
    <cellStyle name="Обычный 5 3 2" xfId="27"/>
    <cellStyle name="Обычный 5 4" xfId="23"/>
    <cellStyle name="Обычный 5 5" xfId="33"/>
    <cellStyle name="Обычный 5 6" xfId="15"/>
    <cellStyle name="Обычный 6 3" xfId="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175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84145.76</v>
      </c>
      <c r="K8" s="109"/>
      <c r="L8" s="181"/>
      <c r="M8" s="109"/>
      <c r="N8" s="109"/>
      <c r="O8" s="70" t="s">
        <v>81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9"/>
      <c r="L9" s="181"/>
      <c r="M9" s="109"/>
      <c r="N9" s="109"/>
      <c r="O9" s="70" t="s">
        <v>82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0</v>
      </c>
      <c r="K10" s="109"/>
      <c r="L10" s="181"/>
      <c r="M10" s="109"/>
      <c r="N10" s="109"/>
      <c r="O10" s="70" t="s">
        <v>83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883448.64</v>
      </c>
      <c r="K11" s="109"/>
      <c r="L11" s="181"/>
      <c r="M11" s="109"/>
      <c r="N11" s="109"/>
      <c r="O11" s="70" t="s">
        <v>84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523592.64</v>
      </c>
      <c r="K12" s="109"/>
      <c r="L12" s="181"/>
      <c r="M12" s="109"/>
      <c r="N12" s="109"/>
      <c r="O12" s="70" t="s">
        <v>85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179928</v>
      </c>
      <c r="K13" s="109"/>
      <c r="L13" s="181"/>
      <c r="M13" s="109"/>
      <c r="N13" s="109"/>
      <c r="O13" s="70" t="s">
        <v>86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179928</v>
      </c>
      <c r="K14" s="109"/>
      <c r="L14" s="181"/>
      <c r="M14" s="109"/>
      <c r="N14" s="109"/>
      <c r="O14" s="70" t="s">
        <v>87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910189.45</v>
      </c>
      <c r="K15" s="109"/>
      <c r="L15" s="181"/>
      <c r="M15" s="109"/>
      <c r="N15" s="109"/>
      <c r="O15" s="70" t="s">
        <v>88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910189.45</v>
      </c>
      <c r="K16" s="109"/>
      <c r="L16" s="181"/>
      <c r="M16" s="109"/>
      <c r="N16" s="109"/>
      <c r="O16" s="70" t="s">
        <v>89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9"/>
      <c r="L17" s="181"/>
      <c r="M17" s="109"/>
      <c r="N17" s="109"/>
      <c r="O17" s="70" t="s">
        <v>90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9"/>
      <c r="L18" s="181"/>
      <c r="M18" s="109"/>
      <c r="N18" s="109"/>
      <c r="O18" s="70" t="s">
        <v>91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9"/>
      <c r="L19" s="181"/>
      <c r="M19" s="109"/>
      <c r="N19" s="109"/>
      <c r="O19" s="70" t="s">
        <v>92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9"/>
      <c r="L20" s="181"/>
      <c r="M20" s="109"/>
      <c r="N20" s="109"/>
      <c r="O20" s="70" t="s">
        <v>93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910189.45</v>
      </c>
      <c r="K21" s="109"/>
      <c r="L21" s="181"/>
      <c r="M21" s="109"/>
      <c r="N21" s="109"/>
      <c r="O21" s="70" t="s">
        <v>94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110886.56999999995</v>
      </c>
      <c r="K22" s="109"/>
      <c r="L22" s="181"/>
      <c r="M22" s="109"/>
      <c r="N22" s="109"/>
      <c r="O22" s="70" t="s">
        <v>95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9"/>
      <c r="L23" s="181"/>
      <c r="M23" s="109"/>
      <c r="N23" s="109"/>
      <c r="O23" s="70" t="s">
        <v>96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0</v>
      </c>
      <c r="K24" s="109"/>
      <c r="L24" s="181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240024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5">
        <f>ПТО!A40</f>
        <v>0</v>
      </c>
      <c r="B29" s="165"/>
      <c r="C29" s="165"/>
      <c r="D29" s="165"/>
      <c r="E29" s="165"/>
      <c r="F29" s="170" t="e">
        <f>VLOOKUP(A29,ПТО!$A$39:$D$53,2,FALSE)</f>
        <v>#N/A</v>
      </c>
      <c r="G29" s="170"/>
      <c r="H29" s="42" t="e">
        <f>VLOOKUP(A29,ПТО!$A$39:$D$53,3,FALSE)</f>
        <v>#N/A</v>
      </c>
      <c r="I29" s="166" t="e">
        <f>VLOOKUP(A29,ПТО!$A$39:$D$53,4,FALSE)</f>
        <v>#N/A</v>
      </c>
      <c r="J29" s="166"/>
      <c r="K29" s="109"/>
      <c r="L29" s="182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64774.080000000002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43182.720000000001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14394.24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93562.559999999998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Работы по содержанию лифта (лифтов)</v>
      </c>
      <c r="B35" s="165"/>
      <c r="C35" s="165"/>
      <c r="D35" s="165"/>
      <c r="E35" s="165"/>
      <c r="F35" s="170">
        <f>VLOOKUP(A35,ПТО!$A$39:$D$53,2,FALSE)</f>
        <v>67652.88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9"/>
      <c r="L35" s="182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66" t="e">
        <f>VLOOKUP(A36,ПТО!$A$39:$D$53,4,FALSE)</f>
        <v>#N/A</v>
      </c>
      <c r="J36" s="166"/>
      <c r="K36" s="109"/>
      <c r="L36" s="182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9"/>
      <c r="L37" s="18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9"/>
      <c r="L38" s="18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9"/>
      <c r="L39" s="18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9"/>
      <c r="L40" s="18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9"/>
      <c r="L41" s="18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9"/>
      <c r="L42" s="18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Промышленная очистка кровли от снега и наледи.</v>
      </c>
      <c r="B43" s="165"/>
      <c r="C43" s="165"/>
      <c r="D43" s="165"/>
      <c r="E43" s="165"/>
      <c r="F43" s="170">
        <f>VLOOKUP(A43,ПТО!$A$2:$D$31,4,FALSE)</f>
        <v>15795</v>
      </c>
      <c r="G43" s="170"/>
      <c r="H43" s="19" t="str">
        <f>VLOOKUP(A43,ПТО!$A$2:$D$31,2,FALSE)</f>
        <v>разово</v>
      </c>
      <c r="I43" s="166">
        <f>VLOOKUP(A43,ПТО!$A$2:$D$31,3,FALSE)</f>
        <v>1</v>
      </c>
      <c r="J43" s="166"/>
      <c r="K43" s="109"/>
      <c r="L43" s="182"/>
      <c r="M43" s="115"/>
      <c r="N43" s="109"/>
      <c r="O43" s="23" t="str">
        <f t="shared" si="1"/>
        <v>Промышленная очистка кровли от снега и наледи.</v>
      </c>
      <c r="R43" s="22" t="s">
        <v>72</v>
      </c>
    </row>
    <row r="44" spans="1:18" ht="51" customHeight="1" outlineLevel="1">
      <c r="A44" s="165" t="str">
        <f>ПТО!A3</f>
        <v>Механизированная уборка и вывоз снега с придомовой территории.</v>
      </c>
      <c r="B44" s="165"/>
      <c r="C44" s="165"/>
      <c r="D44" s="165"/>
      <c r="E44" s="165"/>
      <c r="F44" s="170">
        <f>VLOOKUP(A44,ПТО!$A$2:$D$31,4,FALSE)</f>
        <v>19800</v>
      </c>
      <c r="G44" s="170"/>
      <c r="H44" s="25" t="str">
        <f>VLOOKUP(A44,ПТО!$A$2:$D$31,2,FALSE)</f>
        <v>разово</v>
      </c>
      <c r="I44" s="166">
        <f>VLOOKUP(A44,ПТО!$A$2:$D$31,3,FALSE)</f>
        <v>1</v>
      </c>
      <c r="J44" s="166"/>
      <c r="K44" s="109"/>
      <c r="L44" s="182"/>
      <c r="M44" s="115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65" t="str">
        <f>ПТО!A4</f>
        <v>Замена лампы уличного освещения.</v>
      </c>
      <c r="B45" s="165"/>
      <c r="C45" s="165"/>
      <c r="D45" s="165"/>
      <c r="E45" s="165"/>
      <c r="F45" s="170">
        <f>VLOOKUP(A45,ПТО!$A$2:$D$31,4,FALSE)</f>
        <v>9800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9"/>
      <c r="L45" s="182"/>
      <c r="M45" s="115"/>
      <c r="N45" s="109"/>
      <c r="O45" s="23" t="str">
        <f t="shared" si="1"/>
        <v>Замена лампы уличного освещения.</v>
      </c>
      <c r="R45" s="22" t="s">
        <v>72</v>
      </c>
    </row>
    <row r="46" spans="1:18" ht="51" customHeight="1" outlineLevel="1">
      <c r="A46" s="165" t="str">
        <f>ПТО!A5</f>
        <v>Ремонт подъезда.</v>
      </c>
      <c r="B46" s="165"/>
      <c r="C46" s="165"/>
      <c r="D46" s="165"/>
      <c r="E46" s="165"/>
      <c r="F46" s="170">
        <f>VLOOKUP(A46,ПТО!$A$2:$D$31,4,FALSE)</f>
        <v>376864.8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9"/>
      <c r="L46" s="182"/>
      <c r="M46" s="115"/>
      <c r="N46" s="109"/>
      <c r="O46" s="23" t="str">
        <f t="shared" si="1"/>
        <v>Ремонт подъезда.</v>
      </c>
      <c r="R46" s="22" t="s">
        <v>72</v>
      </c>
    </row>
    <row r="47" spans="1:18" ht="51" customHeight="1" outlineLevel="1">
      <c r="A47" s="165" t="str">
        <f>ПТО!A6</f>
        <v>Диагностика коллективной системы телевидения.</v>
      </c>
      <c r="B47" s="165"/>
      <c r="C47" s="165"/>
      <c r="D47" s="165"/>
      <c r="E47" s="165"/>
      <c r="F47" s="170">
        <f>VLOOKUP(A47,ПТО!$A$2:$D$31,4,FALSE)</f>
        <v>2500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9"/>
      <c r="L47" s="182"/>
      <c r="M47" s="115"/>
      <c r="N47" s="109"/>
      <c r="O47" s="23" t="str">
        <f t="shared" si="1"/>
        <v>Диагностика коллективной системы телевидения.</v>
      </c>
      <c r="R47" s="22" t="s">
        <v>72</v>
      </c>
    </row>
    <row r="48" spans="1:18" ht="51" customHeight="1" outlineLevel="1">
      <c r="A48" s="165" t="str">
        <f>ПТО!A7</f>
        <v>Установка антенны Эфир 18F и телевизионный усилитель.</v>
      </c>
      <c r="B48" s="165"/>
      <c r="C48" s="165"/>
      <c r="D48" s="165"/>
      <c r="E48" s="165"/>
      <c r="F48" s="170">
        <f>VLOOKUP(A48,ПТО!$A$2:$D$31,4,FALSE)</f>
        <v>9300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9"/>
      <c r="L48" s="182"/>
      <c r="M48" s="115"/>
      <c r="N48" s="109"/>
      <c r="O48" s="23" t="str">
        <f t="shared" si="1"/>
        <v>Установка антенны Эфир 18F и телевизионный усилитель.</v>
      </c>
      <c r="R48" s="22" t="s">
        <v>72</v>
      </c>
    </row>
    <row r="49" spans="1:18" ht="51" customHeight="1" outlineLevel="1">
      <c r="A49" s="165" t="str">
        <f>ПТО!A8</f>
        <v>Установка желоба на кровле.</v>
      </c>
      <c r="B49" s="165"/>
      <c r="C49" s="165"/>
      <c r="D49" s="165"/>
      <c r="E49" s="165"/>
      <c r="F49" s="170">
        <f>VLOOKUP(A49,ПТО!$A$2:$D$31,4,FALSE)</f>
        <v>3427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9"/>
      <c r="L49" s="182"/>
      <c r="M49" s="115"/>
      <c r="N49" s="109"/>
      <c r="O49" s="23" t="str">
        <f t="shared" si="1"/>
        <v>Установка желоба на кровле.</v>
      </c>
      <c r="R49" s="22" t="s">
        <v>72</v>
      </c>
    </row>
    <row r="50" spans="1:18" ht="51" customHeight="1" outlineLevel="1">
      <c r="A50" s="165" t="str">
        <f>ПТО!A9</f>
        <v>Замена контактора управления лифта (2шт.).</v>
      </c>
      <c r="B50" s="165"/>
      <c r="C50" s="165"/>
      <c r="D50" s="165"/>
      <c r="E50" s="165"/>
      <c r="F50" s="170">
        <f>VLOOKUP(A50,ПТО!$A$2:$D$31,4,FALSE)</f>
        <v>4787.12</v>
      </c>
      <c r="G50" s="170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9"/>
      <c r="L50" s="182"/>
      <c r="M50" s="115"/>
      <c r="N50" s="109"/>
      <c r="O50" s="23" t="str">
        <f t="shared" si="1"/>
        <v>Замена контактора управления лифта (2шт.).</v>
      </c>
      <c r="R50" s="22" t="s">
        <v>72</v>
      </c>
    </row>
    <row r="51" spans="1:18" ht="51" customHeight="1" outlineLevel="1">
      <c r="A51" s="165" t="str">
        <f>ПТО!A10</f>
        <v>Приобретение и замена шаровых кранов (Ду65 и Ду50).</v>
      </c>
      <c r="B51" s="165"/>
      <c r="C51" s="165"/>
      <c r="D51" s="165"/>
      <c r="E51" s="165"/>
      <c r="F51" s="170">
        <f>VLOOKUP(A51,ПТО!$A$2:$D$31,4,FALSE)</f>
        <v>3421</v>
      </c>
      <c r="G51" s="170"/>
      <c r="H51" s="25" t="str">
        <f>VLOOKUP(A51,ПТО!$A$2:$D$31,2,FALSE)</f>
        <v>разово</v>
      </c>
      <c r="I51" s="166">
        <f>VLOOKUP(A51,ПТО!$A$2:$D$31,3,FALSE)</f>
        <v>1</v>
      </c>
      <c r="J51" s="166"/>
      <c r="K51" s="109"/>
      <c r="L51" s="182"/>
      <c r="M51" s="115"/>
      <c r="N51" s="109"/>
      <c r="O51" s="23" t="str">
        <f t="shared" si="1"/>
        <v>Приобретение и замена шаровых кранов (Ду65 и Ду50).</v>
      </c>
      <c r="R51" s="22" t="s">
        <v>72</v>
      </c>
    </row>
    <row r="52" spans="1:18" ht="51" customHeight="1" outlineLevel="1">
      <c r="A52" s="165" t="str">
        <f>ПТО!A11</f>
        <v>Приобретение и замена обратного  клапана (Ду 40).</v>
      </c>
      <c r="B52" s="165"/>
      <c r="C52" s="165"/>
      <c r="D52" s="165"/>
      <c r="E52" s="165"/>
      <c r="F52" s="170">
        <f>VLOOKUP(A52,ПТО!$A$2:$D$31,4,FALSE)</f>
        <v>320</v>
      </c>
      <c r="G52" s="170"/>
      <c r="H52" s="25" t="str">
        <f>VLOOKUP(A52,ПТО!$A$2:$D$31,2,FALSE)</f>
        <v>разово</v>
      </c>
      <c r="I52" s="166">
        <f>VLOOKUP(A52,ПТО!$A$2:$D$31,3,FALSE)</f>
        <v>1</v>
      </c>
      <c r="J52" s="166"/>
      <c r="K52" s="109"/>
      <c r="L52" s="182"/>
      <c r="M52" s="115"/>
      <c r="N52" s="109"/>
      <c r="O52" s="23" t="str">
        <f t="shared" si="1"/>
        <v>Приобретение и замена обратного  клапана (Ду 40).</v>
      </c>
      <c r="R52" s="22" t="s">
        <v>72</v>
      </c>
    </row>
    <row r="53" spans="1:18" ht="51" customHeight="1" outlineLevel="1">
      <c r="A53" s="165" t="str">
        <f>ПТО!A12</f>
        <v>Ремонт прибора учета тепловой энергии.</v>
      </c>
      <c r="B53" s="165"/>
      <c r="C53" s="165"/>
      <c r="D53" s="165"/>
      <c r="E53" s="165"/>
      <c r="F53" s="170">
        <f>VLOOKUP(A53,ПТО!$A$2:$D$31,4,FALSE)</f>
        <v>1000</v>
      </c>
      <c r="G53" s="170"/>
      <c r="H53" s="25" t="str">
        <f>VLOOKUP(A53,ПТО!$A$2:$D$31,2,FALSE)</f>
        <v>разово</v>
      </c>
      <c r="I53" s="166">
        <f>VLOOKUP(A53,ПТО!$A$2:$D$31,3,FALSE)</f>
        <v>1</v>
      </c>
      <c r="J53" s="166"/>
      <c r="K53" s="109"/>
      <c r="L53" s="182"/>
      <c r="M53" s="115"/>
      <c r="N53" s="109"/>
      <c r="O53" s="23" t="str">
        <f t="shared" si="1"/>
        <v>Ремонт прибора учета тепловой энергии.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66" t="e">
        <f>VLOOKUP(A54,ПТО!$A$2:$D$31,3,FALSE)</f>
        <v>#N/A</v>
      </c>
      <c r="J54" s="166"/>
      <c r="K54" s="109"/>
      <c r="L54" s="18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9"/>
      <c r="L55" s="18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9"/>
      <c r="L56" s="18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9"/>
      <c r="L57" s="18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9"/>
      <c r="L58" s="18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9"/>
      <c r="L59" s="18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9"/>
      <c r="L60" s="18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9"/>
      <c r="L61" s="18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9"/>
      <c r="L62" s="18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9"/>
      <c r="L63" s="18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9"/>
      <c r="L64" s="18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9"/>
      <c r="L65" s="18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9"/>
      <c r="L66" s="18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9"/>
      <c r="L67" s="18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9"/>
      <c r="L68" s="18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9"/>
      <c r="L69" s="18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9"/>
      <c r="L70" s="18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9"/>
      <c r="L72" s="18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85"/>
      <c r="M75" s="109"/>
      <c r="N75" s="109"/>
      <c r="O75" s="70" t="s">
        <v>98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85"/>
      <c r="M76" s="109"/>
      <c r="N76" s="109"/>
      <c r="O76" s="70" t="s">
        <v>99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85"/>
      <c r="M77" s="109"/>
      <c r="N77" s="109"/>
      <c r="O77" s="70" t="s">
        <v>100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85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7">
        <f t="shared" ref="J81:J90" si="2">VLOOKUP(O81,АО,3,FALSE)</f>
        <v>0</v>
      </c>
      <c r="K81" s="109"/>
      <c r="L81" s="171"/>
      <c r="M81" s="109"/>
      <c r="N81" s="109"/>
      <c r="O81" s="70" t="s">
        <v>102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7">
        <f t="shared" si="2"/>
        <v>0</v>
      </c>
      <c r="K82" s="109"/>
      <c r="L82" s="171"/>
      <c r="M82" s="109"/>
      <c r="N82" s="109"/>
      <c r="O82" s="70" t="s">
        <v>103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139941.07</v>
      </c>
      <c r="K83" s="109"/>
      <c r="L83" s="171"/>
      <c r="M83" s="109"/>
      <c r="N83" s="109"/>
      <c r="O83" s="70" t="s">
        <v>104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71"/>
      <c r="M84" s="109"/>
      <c r="N84" s="109"/>
      <c r="O84" s="70" t="s">
        <v>105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71"/>
      <c r="M85" s="109"/>
      <c r="N85" s="109"/>
      <c r="O85" s="70" t="s">
        <v>106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135793.89000000001</v>
      </c>
      <c r="K86" s="109"/>
      <c r="L86" s="171"/>
      <c r="M86" s="109"/>
      <c r="N86" s="109"/>
      <c r="O86" s="70" t="s">
        <v>107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71"/>
      <c r="M87" s="109"/>
      <c r="N87" s="109"/>
      <c r="O87" s="70" t="s">
        <v>108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71"/>
      <c r="M88" s="109"/>
      <c r="N88" s="109"/>
      <c r="O88" s="70" t="s">
        <v>109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71"/>
      <c r="M89" s="109"/>
      <c r="N89" s="109"/>
      <c r="O89" s="70" t="s">
        <v>110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7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6" t="s">
        <v>48</v>
      </c>
      <c r="B93" s="186"/>
      <c r="C93" s="186"/>
      <c r="D93" s="187" t="s">
        <v>49</v>
      </c>
      <c r="E93" s="187"/>
      <c r="F93" s="10" t="s">
        <v>50</v>
      </c>
      <c r="G93" s="186" t="s">
        <v>51</v>
      </c>
      <c r="H93" s="186"/>
      <c r="I93" s="186"/>
      <c r="J93" s="186"/>
      <c r="K93" s="109"/>
      <c r="L93" s="109"/>
      <c r="M93" s="109"/>
      <c r="N93" s="109"/>
    </row>
    <row r="94" spans="1:15" hidden="1" outlineLevel="1">
      <c r="A94" s="167">
        <f>IF(VLOOKUP("эл",АО,3,FALSE)&gt;0,"Электроснабжение",0)</f>
        <v>0</v>
      </c>
      <c r="B94" s="167"/>
      <c r="C94" s="167"/>
      <c r="D94" s="168">
        <f>IF(VLOOKUP("эл",АО,3,FALSE)&gt;0,VLOOKUP("эл",АО,3,FALSE),0)</f>
        <v>0</v>
      </c>
      <c r="E94" s="168"/>
      <c r="F94" s="13">
        <f>IF(VLOOKUP("эл",АО,3,FALSE)&gt;0,VLOOKUP("эл",АО,4,FALSE),0)</f>
        <v>0</v>
      </c>
      <c r="G94" s="169">
        <f>VLOOKUP("эл",АО,5,FALSE)</f>
        <v>0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hidden="1" outlineLevel="2">
      <c r="A95" s="184">
        <f>IF(VLOOKUP("эл",АО,3,FALSE)&gt;0,VLOOKUP("эл1",АО,2,FALSE),0)</f>
        <v>0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0</v>
      </c>
      <c r="L95" s="172"/>
      <c r="O95" s="1" t="s">
        <v>112</v>
      </c>
    </row>
    <row r="96" spans="1:15" hidden="1" outlineLevel="2">
      <c r="A96" s="184">
        <f>IF(VLOOKUP("эл",АО,3,FALSE)&gt;0,VLOOKUP("эл2",АО,2,FALSE),0)</f>
        <v>0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0</v>
      </c>
      <c r="L96" s="172"/>
      <c r="O96" s="1" t="s">
        <v>113</v>
      </c>
    </row>
    <row r="97" spans="1:15" hidden="1" outlineLevel="2">
      <c r="A97" s="184">
        <f>IF(VLOOKUP("эл",АО,3,FALSE)&gt;0,VLOOKUP("эл3",АО,2,FALSE),0)</f>
        <v>0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72"/>
      <c r="O97" s="1" t="s">
        <v>114</v>
      </c>
    </row>
    <row r="98" spans="1:15" ht="37.5" hidden="1" customHeight="1" outlineLevel="2">
      <c r="A98" s="184">
        <f>IF(VLOOKUP("эл",АО,3,FALSE)&gt;0,VLOOKUP("эл4",АО,2,FALSE),0)</f>
        <v>0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0</v>
      </c>
      <c r="L98" s="172"/>
      <c r="O98" s="1" t="s">
        <v>115</v>
      </c>
    </row>
    <row r="99" spans="1:15" hidden="1" outlineLevel="2">
      <c r="A99" s="184">
        <f>IF(VLOOKUP("эл",АО,3,FALSE)&gt;0,VLOOKUP("эл5",АО,2,FALSE),0)</f>
        <v>0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0</v>
      </c>
      <c r="L99" s="172"/>
      <c r="O99" s="1" t="s">
        <v>116</v>
      </c>
    </row>
    <row r="100" spans="1:15" ht="39" hidden="1" customHeight="1" outlineLevel="2">
      <c r="A100" s="184">
        <f>IF(VLOOKUP("эл",АО,3,FALSE)&gt;0,VLOOKUP("эл6",АО,2,FALSE),0)</f>
        <v>0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117</v>
      </c>
    </row>
    <row r="101" spans="1:15" ht="34.5" hidden="1" customHeight="1" outlineLevel="2">
      <c r="A101" s="184">
        <f>IF(VLOOKUP("эл",АО,3,FALSE)&gt;0,VLOOKUP("эл7",АО,2,FALSE),0)</f>
        <v>0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118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146325.64000000001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10042.94</v>
      </c>
      <c r="L103" s="172"/>
      <c r="O103" s="1" t="s">
        <v>121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150633.60999999999</v>
      </c>
      <c r="L104" s="172"/>
      <c r="O104" s="1" t="s">
        <v>122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72"/>
      <c r="O105" s="1" t="s">
        <v>123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146325.64000000001</v>
      </c>
      <c r="L106" s="172"/>
      <c r="O106" s="1" t="s">
        <v>124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146325.64000000001</v>
      </c>
      <c r="L107" s="172"/>
      <c r="O107" s="1" t="s">
        <v>125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126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127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175865.74</v>
      </c>
      <c r="H110" s="168"/>
      <c r="I110" s="168"/>
      <c r="J110" s="168"/>
      <c r="L110" s="172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9930.31</v>
      </c>
      <c r="L111" s="172"/>
      <c r="O111" s="1" t="s">
        <v>129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175704.95</v>
      </c>
      <c r="L112" s="172"/>
      <c r="O112" s="1" t="s">
        <v>130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160.78999999997905</v>
      </c>
      <c r="L113" s="172"/>
      <c r="O113" s="1" t="s">
        <v>131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175865.74</v>
      </c>
      <c r="L114" s="172"/>
      <c r="O114" s="1" t="s">
        <v>132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175865.74</v>
      </c>
      <c r="L115" s="172"/>
      <c r="O115" s="1" t="s">
        <v>133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134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135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9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3">
        <f t="shared" ref="A119:A125" si="8">IF(VLOOKUP("тко",АО,3,FALSE)&gt;0,VLOOKUP(O119,АО,2,FALSE),0)</f>
        <v>0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3">
        <f t="shared" si="8"/>
        <v>0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3">
        <f t="shared" si="8"/>
        <v>0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3">
        <f t="shared" si="8"/>
        <v>0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3">
        <f t="shared" si="8"/>
        <v>0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3">
        <f t="shared" si="8"/>
        <v>0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3">
        <f t="shared" si="8"/>
        <v>0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9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3">
        <f t="shared" ref="A127:A133" si="10">IF(VLOOKUP("гвс",АО,3,FALSE)&gt;0,VLOOKUP(O127,АО,2,FALSE),0)</f>
        <v>0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3">
        <f t="shared" si="10"/>
        <v>0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3">
        <f t="shared" si="10"/>
        <v>0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3">
        <f t="shared" si="10"/>
        <v>0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3">
        <f t="shared" si="10"/>
        <v>0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3">
        <f t="shared" si="10"/>
        <v>0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3">
        <f t="shared" si="10"/>
        <v>0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169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63" t="s">
        <v>172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54678.9</v>
      </c>
      <c r="O146" t="s">
        <v>171</v>
      </c>
    </row>
    <row r="149" spans="1:15" ht="52.5" customHeight="1">
      <c r="A149" s="188" t="s">
        <v>177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0" t="s">
        <v>184</v>
      </c>
      <c r="B154" s="190"/>
      <c r="C154" s="190"/>
      <c r="D154" s="190"/>
      <c r="E154" s="27">
        <f>ПТО!G1</f>
        <v>-360950.1</v>
      </c>
    </row>
    <row r="155" spans="1:15" ht="34.5" customHeight="1">
      <c r="A155" s="189" t="s">
        <v>188</v>
      </c>
      <c r="B155" s="189"/>
      <c r="C155" s="189"/>
      <c r="D155" s="189"/>
      <c r="E155" s="28">
        <f>J13</f>
        <v>179928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5" t="str">
        <f t="shared" ref="A158:A163" si="14">IF(N158&gt;0,N158,0)</f>
        <v>Промышленная очистка кровли от снега и наледи.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15795</v>
      </c>
      <c r="G158" s="170"/>
      <c r="H158" s="24" t="str">
        <f t="shared" ref="H158:H187" si="16">VLOOKUP(A158,$A$28:$J$72,8,FALSE)</f>
        <v>разово</v>
      </c>
      <c r="I158" s="166">
        <f t="shared" ref="I158:I161" si="17">VLOOKUP(A158,$A$28:$J$72,9,FALSE)</f>
        <v>1</v>
      </c>
      <c r="J158" s="166"/>
      <c r="M158" s="22" t="s">
        <v>72</v>
      </c>
      <c r="N158" s="1" t="str">
        <f t="array" ref="N158:N187">INDEX($O$43:$O$72,SMALL(IF($M$158=R43:R72,ROW(O43:O72)-42,""),ROW()-157))</f>
        <v>Промышленная очистка кровли от снега и наледи.</v>
      </c>
    </row>
    <row r="159" spans="1:15" ht="28.5" customHeight="1">
      <c r="A159" s="165" t="str">
        <f t="shared" si="14"/>
        <v>Механизированная уборка и вывоз снега с придомовой территории.</v>
      </c>
      <c r="B159" s="165"/>
      <c r="C159" s="165"/>
      <c r="D159" s="165"/>
      <c r="E159" s="165"/>
      <c r="F159" s="170">
        <f t="shared" si="15"/>
        <v>19800</v>
      </c>
      <c r="G159" s="170"/>
      <c r="H159" s="24" t="str">
        <f t="shared" si="16"/>
        <v>разово</v>
      </c>
      <c r="I159" s="166">
        <f t="shared" si="17"/>
        <v>1</v>
      </c>
      <c r="J159" s="166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65" t="str">
        <f t="shared" si="14"/>
        <v>Замена лампы уличного освещения.</v>
      </c>
      <c r="B160" s="165"/>
      <c r="C160" s="165"/>
      <c r="D160" s="165"/>
      <c r="E160" s="165"/>
      <c r="F160" s="170">
        <f t="shared" si="15"/>
        <v>9800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Замена лампы уличного освещения.</v>
      </c>
    </row>
    <row r="161" spans="1:14" ht="28.5" customHeight="1">
      <c r="A161" s="165" t="str">
        <f>IF(N161&gt;0,N161,0)</f>
        <v>Ремонт подъезда.</v>
      </c>
      <c r="B161" s="165"/>
      <c r="C161" s="165"/>
      <c r="D161" s="165"/>
      <c r="E161" s="165"/>
      <c r="F161" s="170">
        <f t="shared" si="15"/>
        <v>376864.8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Ремонт подъезда.</v>
      </c>
    </row>
    <row r="162" spans="1:14" ht="28.5" customHeight="1">
      <c r="A162" s="165" t="str">
        <f t="shared" si="14"/>
        <v>Диагностика коллективной системы телевидения.</v>
      </c>
      <c r="B162" s="165"/>
      <c r="C162" s="165"/>
      <c r="D162" s="165"/>
      <c r="E162" s="165"/>
      <c r="F162" s="170">
        <f t="shared" si="15"/>
        <v>2500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72</v>
      </c>
      <c r="N162" s="1" t="str">
        <v>Диагностика коллективной системы телевидения.</v>
      </c>
    </row>
    <row r="163" spans="1:14" ht="28.5" customHeight="1">
      <c r="A163" s="165" t="str">
        <f t="shared" si="14"/>
        <v>Установка антенны Эфир 18F и телевизионный усилитель.</v>
      </c>
      <c r="B163" s="165"/>
      <c r="C163" s="165"/>
      <c r="D163" s="165"/>
      <c r="E163" s="165"/>
      <c r="F163" s="170">
        <f t="shared" si="15"/>
        <v>9300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72</v>
      </c>
      <c r="N163" s="1" t="str">
        <v>Установка антенны Эфир 18F и телевизионный усилитель.</v>
      </c>
    </row>
    <row r="164" spans="1:14" ht="28.5" customHeight="1">
      <c r="A164" s="165" t="str">
        <f t="shared" ref="A164:A187" si="18">IF(N164&gt;0,N164,0)</f>
        <v>Установка желоба на кровле.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3427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72</v>
      </c>
      <c r="N164" s="1" t="str">
        <v>Установка желоба на кровле.</v>
      </c>
    </row>
    <row r="165" spans="1:14" ht="28.5" customHeight="1">
      <c r="A165" s="165" t="str">
        <f t="shared" si="18"/>
        <v>Замена контактора управления лифта (2шт.).</v>
      </c>
      <c r="B165" s="165"/>
      <c r="C165" s="165"/>
      <c r="D165" s="165"/>
      <c r="E165" s="165"/>
      <c r="F165" s="170">
        <f t="shared" si="19"/>
        <v>4787.12</v>
      </c>
      <c r="G165" s="170"/>
      <c r="H165" s="29" t="str">
        <f t="shared" si="16"/>
        <v>разово</v>
      </c>
      <c r="I165" s="166">
        <f t="shared" si="20"/>
        <v>1</v>
      </c>
      <c r="J165" s="166"/>
      <c r="M165" s="22" t="s">
        <v>72</v>
      </c>
      <c r="N165" s="1" t="str">
        <v>Замена контактора управления лифта (2шт.).</v>
      </c>
    </row>
    <row r="166" spans="1:14" ht="28.5" customHeight="1">
      <c r="A166" s="165" t="str">
        <f t="shared" si="18"/>
        <v>Приобретение и замена шаровых кранов (Ду65 и Ду50).</v>
      </c>
      <c r="B166" s="165"/>
      <c r="C166" s="165"/>
      <c r="D166" s="165"/>
      <c r="E166" s="165"/>
      <c r="F166" s="170">
        <f t="shared" si="19"/>
        <v>3421</v>
      </c>
      <c r="G166" s="170"/>
      <c r="H166" s="29" t="str">
        <f t="shared" si="16"/>
        <v>разово</v>
      </c>
      <c r="I166" s="166">
        <f t="shared" si="20"/>
        <v>1</v>
      </c>
      <c r="J166" s="166"/>
      <c r="M166" s="22" t="s">
        <v>72</v>
      </c>
      <c r="N166" s="1" t="str">
        <v>Приобретение и замена шаровых кранов (Ду65 и Ду50).</v>
      </c>
    </row>
    <row r="167" spans="1:14" ht="28.5" customHeight="1">
      <c r="A167" s="165" t="str">
        <f t="shared" si="18"/>
        <v>Приобретение и замена обратного  клапана (Ду 40).</v>
      </c>
      <c r="B167" s="165"/>
      <c r="C167" s="165"/>
      <c r="D167" s="165"/>
      <c r="E167" s="165"/>
      <c r="F167" s="170">
        <f t="shared" si="19"/>
        <v>320</v>
      </c>
      <c r="G167" s="170"/>
      <c r="H167" s="29" t="str">
        <f t="shared" si="16"/>
        <v>разово</v>
      </c>
      <c r="I167" s="166">
        <f t="shared" si="20"/>
        <v>1</v>
      </c>
      <c r="J167" s="166"/>
      <c r="M167" s="22" t="s">
        <v>72</v>
      </c>
      <c r="N167" s="1" t="str">
        <v>Приобретение и замена обратного  клапана (Ду 40).</v>
      </c>
    </row>
    <row r="168" spans="1:14" ht="28.5" customHeight="1">
      <c r="A168" s="165" t="str">
        <f t="shared" si="18"/>
        <v>Ремонт прибора учета тепловой энергии.</v>
      </c>
      <c r="B168" s="165"/>
      <c r="C168" s="165"/>
      <c r="D168" s="165"/>
      <c r="E168" s="165"/>
      <c r="F168" s="170">
        <f t="shared" si="19"/>
        <v>1000</v>
      </c>
      <c r="G168" s="170"/>
      <c r="H168" s="29" t="str">
        <f t="shared" si="16"/>
        <v>разово</v>
      </c>
      <c r="I168" s="166">
        <f t="shared" si="20"/>
        <v>1</v>
      </c>
      <c r="J168" s="166"/>
      <c r="M168" s="22" t="s">
        <v>72</v>
      </c>
      <c r="N168" s="1" t="str">
        <v>Ремонт прибора учета тепловой энергии.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70">
        <f t="shared" si="19"/>
        <v>0</v>
      </c>
      <c r="G169" s="170"/>
      <c r="H169" s="29" t="e">
        <f t="shared" si="16"/>
        <v>#N/A</v>
      </c>
      <c r="I169" s="166" t="e">
        <f t="shared" si="20"/>
        <v>#N/A</v>
      </c>
      <c r="J169" s="166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90" t="s">
        <v>187</v>
      </c>
      <c r="B190" s="190"/>
      <c r="C190" s="190"/>
      <c r="D190" s="190"/>
      <c r="E190" s="27">
        <f>SUM(F158:G187)</f>
        <v>447014.92</v>
      </c>
    </row>
    <row r="191" spans="1:14" ht="51.75" customHeight="1">
      <c r="A191" s="190" t="s">
        <v>186</v>
      </c>
      <c r="B191" s="190"/>
      <c r="C191" s="190"/>
      <c r="D191" s="190"/>
      <c r="E191" s="27">
        <f>E190+E154-E155</f>
        <v>-93863.18</v>
      </c>
    </row>
    <row r="192" spans="1:14">
      <c r="A192" s="104" t="s">
        <v>173</v>
      </c>
    </row>
    <row r="193" spans="1:10" ht="62.25" customHeight="1">
      <c r="A193" s="164" t="s">
        <v>185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9">
        <f>ПТО!G12</f>
        <v>1200</v>
      </c>
      <c r="I194" s="50" t="s">
        <v>74</v>
      </c>
    </row>
    <row r="195" spans="1:10" ht="18.75" customHeight="1">
      <c r="A195" s="162" t="str">
        <f>ПТО!F13</f>
        <v xml:space="preserve">  -  механизированная уборка и вывоз снега с придомовой территории</v>
      </c>
      <c r="B195" s="162"/>
      <c r="C195" s="162"/>
      <c r="D195" s="162"/>
      <c r="E195" s="162"/>
      <c r="F195" s="162"/>
      <c r="G195" s="162"/>
      <c r="H195" s="49">
        <f>ПТО!G13</f>
        <v>20000</v>
      </c>
      <c r="I195" s="50" t="s">
        <v>74</v>
      </c>
    </row>
    <row r="196" spans="1:10" ht="18.75" hidden="1" customHeight="1">
      <c r="A196" s="162">
        <f>ПТО!F14</f>
        <v>0</v>
      </c>
      <c r="B196" s="162"/>
      <c r="C196" s="162"/>
      <c r="D196" s="162"/>
      <c r="E196" s="162"/>
      <c r="F196" s="162"/>
      <c r="G196" s="162"/>
      <c r="H196" s="49">
        <f>ПТО!G14</f>
        <v>0</v>
      </c>
      <c r="I196" s="50" t="s">
        <v>74</v>
      </c>
    </row>
    <row r="197" spans="1:10" ht="18.75" hidden="1" customHeight="1">
      <c r="A197" s="162">
        <f>ПТО!F15</f>
        <v>0</v>
      </c>
      <c r="B197" s="162"/>
      <c r="C197" s="162"/>
      <c r="D197" s="162"/>
      <c r="E197" s="162"/>
      <c r="F197" s="162"/>
      <c r="G197" s="162"/>
      <c r="H197" s="49">
        <f>ПТО!G15</f>
        <v>0</v>
      </c>
      <c r="I197" s="50" t="s">
        <v>74</v>
      </c>
    </row>
    <row r="198" spans="1:10" ht="36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49">
        <f>ПТО!G16</f>
        <v>0</v>
      </c>
      <c r="I198" s="52" t="s">
        <v>74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49">
        <f>ПТО!G17</f>
        <v>0</v>
      </c>
      <c r="I199" s="50" t="s">
        <v>74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49">
        <f>ПТО!G18</f>
        <v>0</v>
      </c>
      <c r="I200" s="50" t="s">
        <v>74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9">
        <f>ПТО!G19</f>
        <v>0</v>
      </c>
      <c r="I201" s="50" t="s">
        <v>74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9">
        <f>ПТО!G20</f>
        <v>0</v>
      </c>
      <c r="I202" s="50" t="s">
        <v>74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9">
        <f>ПТО!G21</f>
        <v>0</v>
      </c>
      <c r="I203" s="50" t="s">
        <v>74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9">
        <f>ПТО!G22</f>
        <v>0</v>
      </c>
      <c r="I204" s="50" t="s">
        <v>74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9">
        <f>ПТО!G23</f>
        <v>0</v>
      </c>
      <c r="I205" s="50" t="s">
        <v>74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9">
        <f>ПТО!G24</f>
        <v>0</v>
      </c>
      <c r="I206" s="50" t="s">
        <v>74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9">
        <f>ПТО!G25</f>
        <v>0</v>
      </c>
      <c r="I207" s="50" t="s">
        <v>74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9">
        <f>ПТО!G26</f>
        <v>0</v>
      </c>
      <c r="I208" s="50" t="s">
        <v>74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9">
        <f>ПТО!G27</f>
        <v>0</v>
      </c>
      <c r="I209" s="50" t="s">
        <v>74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9">
        <f>ПТО!G28</f>
        <v>0</v>
      </c>
      <c r="I210" s="50" t="s">
        <v>74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9">
        <f>ПТО!G29</f>
        <v>0</v>
      </c>
      <c r="I211" s="50" t="s">
        <v>74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9">
        <f>ПТО!G30</f>
        <v>0</v>
      </c>
      <c r="I212" s="50" t="s">
        <v>74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21200</v>
      </c>
      <c r="I214" s="56" t="s">
        <v>76</v>
      </c>
    </row>
  </sheetData>
  <sheetProtection algorithmName="SHA-512" hashValue="n6fOpp/k0p/0WadTTuje45RSyMmvFWtFji90f7hnl29Ofpg1/2qFpzN+E+BbJ4X9rN2yNlG8zQv5tYquZesISg==" saltValue="L60aVojz9vt7xfs8VJUN7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I11" sqref="I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184</v>
      </c>
      <c r="G1" s="101">
        <f>-360950.1</f>
        <v>-360950.1</v>
      </c>
    </row>
    <row r="2" spans="1:12" ht="18.75" customHeight="1">
      <c r="A2" s="129" t="s">
        <v>189</v>
      </c>
      <c r="B2" s="130" t="s">
        <v>178</v>
      </c>
      <c r="C2" s="131">
        <v>1</v>
      </c>
      <c r="D2" s="132">
        <v>15795</v>
      </c>
      <c r="E2" s="133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182</v>
      </c>
      <c r="B3" s="125" t="s">
        <v>178</v>
      </c>
      <c r="C3" s="126">
        <v>1</v>
      </c>
      <c r="D3" s="123">
        <v>19800</v>
      </c>
      <c r="E3" s="134" t="s">
        <v>191</v>
      </c>
      <c r="F3" s="30"/>
      <c r="G3" s="30"/>
      <c r="L3" s="33" t="str">
        <f t="shared" si="0"/>
        <v>ТР</v>
      </c>
    </row>
    <row r="4" spans="1:12" ht="18.75" customHeight="1">
      <c r="A4" s="135" t="s">
        <v>192</v>
      </c>
      <c r="B4" s="136" t="s">
        <v>178</v>
      </c>
      <c r="C4" s="122">
        <v>1</v>
      </c>
      <c r="D4" s="123">
        <v>9800</v>
      </c>
      <c r="E4" s="139" t="s">
        <v>194</v>
      </c>
      <c r="F4" s="30"/>
      <c r="G4" s="30"/>
      <c r="L4" s="33" t="str">
        <f t="shared" si="0"/>
        <v>ТР</v>
      </c>
    </row>
    <row r="5" spans="1:12" ht="18.75" customHeight="1">
      <c r="A5" s="137" t="s">
        <v>193</v>
      </c>
      <c r="B5" s="138" t="s">
        <v>178</v>
      </c>
      <c r="C5" s="126">
        <v>1</v>
      </c>
      <c r="D5" s="127">
        <v>376864.8</v>
      </c>
      <c r="E5" s="139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43" t="s">
        <v>196</v>
      </c>
      <c r="B6" s="144" t="s">
        <v>178</v>
      </c>
      <c r="C6" s="121">
        <v>1</v>
      </c>
      <c r="D6" s="43">
        <v>2500</v>
      </c>
      <c r="E6" s="145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42" t="s">
        <v>198</v>
      </c>
      <c r="B7" s="140" t="s">
        <v>178</v>
      </c>
      <c r="C7" s="121">
        <v>1</v>
      </c>
      <c r="D7" s="43">
        <v>9300</v>
      </c>
      <c r="E7" s="141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46" t="s">
        <v>201</v>
      </c>
      <c r="B8" s="147" t="s">
        <v>178</v>
      </c>
      <c r="C8" s="148">
        <v>1</v>
      </c>
      <c r="D8" s="46">
        <v>3427</v>
      </c>
      <c r="E8" s="149" t="s">
        <v>205</v>
      </c>
      <c r="F8" s="45"/>
      <c r="G8" s="45"/>
      <c r="K8" s="43"/>
      <c r="L8" s="33" t="str">
        <f t="shared" si="0"/>
        <v>ТР</v>
      </c>
    </row>
    <row r="9" spans="1:12">
      <c r="A9" s="150" t="s">
        <v>199</v>
      </c>
      <c r="B9" s="151" t="s">
        <v>178</v>
      </c>
      <c r="C9" s="148">
        <v>1</v>
      </c>
      <c r="D9" s="46">
        <v>4787.12</v>
      </c>
      <c r="E9" s="152" t="s">
        <v>206</v>
      </c>
      <c r="F9" s="44"/>
      <c r="G9" s="44"/>
      <c r="K9" s="43"/>
      <c r="L9" s="33" t="str">
        <f t="shared" si="0"/>
        <v>ТР</v>
      </c>
    </row>
    <row r="10" spans="1:12">
      <c r="A10" s="153" t="s">
        <v>203</v>
      </c>
      <c r="B10" s="154" t="s">
        <v>178</v>
      </c>
      <c r="C10" s="121">
        <v>1</v>
      </c>
      <c r="D10" s="46">
        <v>3421</v>
      </c>
      <c r="E10" s="155" t="s">
        <v>207</v>
      </c>
      <c r="L10" s="33" t="str">
        <f t="shared" si="0"/>
        <v>ТР</v>
      </c>
    </row>
    <row r="11" spans="1:12" ht="94.5">
      <c r="A11" s="156" t="s">
        <v>202</v>
      </c>
      <c r="B11" s="157" t="s">
        <v>178</v>
      </c>
      <c r="C11" s="157">
        <v>1</v>
      </c>
      <c r="D11" s="158">
        <v>320</v>
      </c>
      <c r="E11" s="159" t="s">
        <v>208</v>
      </c>
      <c r="F11" s="111" t="s">
        <v>185</v>
      </c>
      <c r="G11" s="111"/>
      <c r="L11" s="33" t="str">
        <f t="shared" si="0"/>
        <v>ТР</v>
      </c>
    </row>
    <row r="12" spans="1:12" ht="31.5">
      <c r="A12" s="160" t="s">
        <v>204</v>
      </c>
      <c r="B12" s="161" t="s">
        <v>178</v>
      </c>
      <c r="C12" s="121">
        <v>1</v>
      </c>
      <c r="D12" s="46">
        <v>1000</v>
      </c>
      <c r="E12" s="155" t="s">
        <v>209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30"/>
      <c r="F13" s="112" t="s">
        <v>183</v>
      </c>
      <c r="G13" s="128">
        <v>20000</v>
      </c>
      <c r="L13" s="33">
        <f t="shared" si="0"/>
        <v>0</v>
      </c>
    </row>
    <row r="14" spans="1:12" ht="15.75">
      <c r="A14" s="30"/>
      <c r="F14" s="118"/>
      <c r="G14" s="117"/>
      <c r="L14" s="33">
        <f t="shared" si="0"/>
        <v>0</v>
      </c>
    </row>
    <row r="15" spans="1:12" ht="15.75">
      <c r="A15" s="30"/>
      <c r="F15" s="118"/>
      <c r="G15" s="117"/>
      <c r="L15" s="33">
        <f t="shared" si="0"/>
        <v>0</v>
      </c>
    </row>
    <row r="16" spans="1:12">
      <c r="A16" s="30"/>
      <c r="F16" s="103"/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240024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240024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64774.080000000002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64774.080000000002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43182.720000000001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43182.720000000001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14394.24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14394.24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93562.559999999998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93562.559999999998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174</v>
      </c>
      <c r="B46" s="38">
        <v>67652.88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67652.88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19"/>
      <c r="C47" s="120"/>
      <c r="D47" s="48"/>
      <c r="E47" s="119">
        <v>860</v>
      </c>
      <c r="F47" s="119">
        <v>427.2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r8sEtiO0eo04O0ooTc9QlJCzUdkEHBkbkZ3y3dNDgBeeH4fySscJRjwbZrmQj/y8Rq9GFqQCKWvr6fqvtVB6Lg==" saltValue="B4DSAl08d+fPCUgXtYBbT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2998.8</v>
      </c>
    </row>
    <row r="2" spans="1:10" ht="15.75" customHeight="1">
      <c r="A2" s="70" t="s">
        <v>81</v>
      </c>
      <c r="B2" s="72" t="s">
        <v>2</v>
      </c>
      <c r="C2" s="83">
        <v>84145.76</v>
      </c>
      <c r="D2" s="81" t="s">
        <v>58</v>
      </c>
      <c r="E2" s="61" t="s">
        <v>179</v>
      </c>
      <c r="F2" s="61" t="s">
        <v>181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 t="s">
        <v>180</v>
      </c>
      <c r="F3" s="61" t="s">
        <v>181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883448.64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523592.64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179928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179928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910189.45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910189.45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910189.45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110886.56999999995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104</v>
      </c>
      <c r="B27" s="75" t="s">
        <v>4</v>
      </c>
      <c r="C27" s="86">
        <v>139941.07</v>
      </c>
      <c r="D27" s="81" t="s">
        <v>60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107</v>
      </c>
      <c r="B30" s="75" t="s">
        <v>18</v>
      </c>
      <c r="C30" s="86">
        <v>135793.89000000001</v>
      </c>
      <c r="D30" s="81" t="s">
        <v>66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9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146325.64000000001</v>
      </c>
      <c r="F45" s="94" t="s">
        <v>166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10042.94</v>
      </c>
      <c r="D46" s="94" t="s">
        <v>167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150633.60999999999</v>
      </c>
      <c r="D47" s="94" t="s">
        <v>165</v>
      </c>
      <c r="E47" s="68"/>
      <c r="G47" s="67"/>
      <c r="H47" s="67"/>
      <c r="L47" s="63"/>
      <c r="M47" s="19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146325.64000000001</v>
      </c>
      <c r="D49" s="80" t="s">
        <v>59</v>
      </c>
      <c r="E49" s="68"/>
      <c r="G49" s="67"/>
      <c r="H49" s="67"/>
      <c r="L49" s="63"/>
      <c r="M49" s="19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146325.64000000001</v>
      </c>
      <c r="D50" s="80" t="s">
        <v>59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175865.74</v>
      </c>
      <c r="F53" s="94" t="s">
        <v>166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9930.31</v>
      </c>
      <c r="D54" s="94" t="s">
        <v>167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175704.95</v>
      </c>
      <c r="D55" s="94" t="s">
        <v>165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160.78999999997905</v>
      </c>
      <c r="D56" s="80" t="s">
        <v>59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175865.74</v>
      </c>
      <c r="D57" s="80" t="s">
        <v>59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175865.74</v>
      </c>
      <c r="D58" s="80" t="s">
        <v>59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54678.9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2024-03-28T05:27:54Z</dcterms:modified>
</cp:coreProperties>
</file>