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6" i="1"/>
  <c r="G94" i="1"/>
  <c r="D94" i="1"/>
  <c r="K94" i="1"/>
  <c r="A121" i="1" l="1"/>
  <c r="D118" i="1"/>
  <c r="A112" i="1"/>
  <c r="F102" i="1"/>
  <c r="A97" i="1"/>
  <c r="F94" i="1"/>
  <c r="A111" i="1"/>
  <c r="A117" i="1"/>
  <c r="D110" i="1"/>
  <c r="A114" i="1"/>
  <c r="A110" i="1"/>
  <c r="A109" i="1"/>
  <c r="F110" i="1"/>
  <c r="A115" i="1"/>
  <c r="A113" i="1"/>
  <c r="F118" i="1"/>
  <c r="A122" i="1"/>
  <c r="A125" i="1"/>
  <c r="A118" i="1"/>
  <c r="A119" i="1"/>
  <c r="A99" i="1"/>
  <c r="F134" i="1"/>
  <c r="A141" i="1"/>
  <c r="A94" i="1"/>
  <c r="A95" i="1"/>
  <c r="A100" i="1"/>
  <c r="A123" i="1"/>
  <c r="A101" i="1"/>
  <c r="A137" i="1"/>
  <c r="A120" i="1"/>
  <c r="A105" i="1"/>
  <c r="A138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3" i="1" l="1"/>
  <c r="A173" i="1" s="1"/>
  <c r="I173" i="1" s="1"/>
  <c r="N186" i="1"/>
  <c r="A186" i="1" s="1"/>
  <c r="I186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66" i="1" l="1"/>
  <c r="F181" i="1"/>
  <c r="F177" i="1"/>
  <c r="H171" i="1"/>
  <c r="F187" i="1"/>
  <c r="F172" i="1"/>
  <c r="H172" i="1"/>
  <c r="H180" i="1"/>
  <c r="H166" i="1"/>
  <c r="F167" i="1"/>
  <c r="F186" i="1"/>
  <c r="H165" i="1"/>
  <c r="H170" i="1"/>
  <c r="H177" i="1"/>
  <c r="F165" i="1"/>
  <c r="F173" i="1"/>
  <c r="F175" i="1"/>
  <c r="H168" i="1"/>
  <c r="H175" i="1"/>
  <c r="H164" i="1"/>
  <c r="H176" i="1"/>
  <c r="H167" i="1"/>
  <c r="H179" i="1"/>
  <c r="F170" i="1"/>
  <c r="F171" i="1"/>
  <c r="F168" i="1"/>
  <c r="F180" i="1"/>
  <c r="H173" i="1"/>
  <c r="H178" i="1"/>
  <c r="H184" i="1"/>
  <c r="H182" i="1"/>
  <c r="F164" i="1"/>
  <c r="H181" i="1"/>
  <c r="H187" i="1"/>
  <c r="F179" i="1"/>
  <c r="F178" i="1"/>
  <c r="F176" i="1"/>
  <c r="H186" i="1"/>
  <c r="F185" i="1"/>
  <c r="F184" i="1"/>
  <c r="F182" i="1"/>
  <c r="H169" i="1"/>
  <c r="F169" i="1"/>
  <c r="H185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<sst xmlns="http://schemas.openxmlformats.org/spreadsheetml/2006/main" count="550" uniqueCount="202">
  <si>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</si>
  <si>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</si>
  <si>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</si>
  <si>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</si>
  <si>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</si>
  <si>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</si>
  <si>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</si>
  <si>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</si>
  <si>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</si>
  <si>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</si>
  <si>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</si>
  <si>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</si>
  <si>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</si>
  <si>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</si>
  <si>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</si>
  <si>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</si>
  <si>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</si>
  <si>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</si>
  <si>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</si>
  <si>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</si>
  <si>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</si>
  <si>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</si>
  <si>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</si>
  <si>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</si>
  <si>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</si>
  <si>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</si>
  <si>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</si>
  <si>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</si>
  <si>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</si>
  <si>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</si>
  <si>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</si>
  <si>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</si>
  <si>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</si>
  <si>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</si>
  <si>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</si>
  <si>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</si>
  <si>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</si>
  <si>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</si>
  <si>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</si>
  <si>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</si>
  <si>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</si>
  <si>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</si>
  <si>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</si>
  <si>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</si>
  <si>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</si>
  <si>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</si>
  <si>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</si>
  <si>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</si>
  <si>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</si>
  <si>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</si>
  <si>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</si>
  <si>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</si>
  <si>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</si>
  <si>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</si>
  <si>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</si>
  <si>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</si>
  <si>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</si>
  <si>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</si>
  <si>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</si>
  <si>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</si>
  <si>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</si>
  <si>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</si>
  <si>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</si>
  <si>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</si>
  <si>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</si>
  <si>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</si>
  <si>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</si>
  <si>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</si>
  <si>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</si>
  <si>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</si>
  <si>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</si>
  <si>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</si>
  <si>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</si>
  <si>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</si>
  <si>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</si>
  <si>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</si>
  <si>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</si>
  <si>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</si>
  <si>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</si>
  <si>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</si>
  <si>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</si>
  <si>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</si>
  <si>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</si>
  <si>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</si>
  <si>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</si>
  <si>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</si>
  <si>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</si>
  <si>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</si>
  <si>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</si>
  <si>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</si>
  <si>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</si>
  <si>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</si>
  <si>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</si>
  <si>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</si>
  <si>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</si>
  <si>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</si>
  <si>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</si>
  <si>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</si>
  <si>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</si>
  <si>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</si>
  <si>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</si>
  <si>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</si>
  <si>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</si>
  <si>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</si>
  <si>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</si>
  <si>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</si>
  <si>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</si>
  <si>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</si>
  <si>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</si>
  <si>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</si>
  <si>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</si>
  <si>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</si>
  <si>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</si>
  <si>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</si>
  <si>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</si>
  <si>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</si>
  <si>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</si>
  <si>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</si>
  <si>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</si>
  <si>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</si>
  <si>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</si>
  <si>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</si>
  <si>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</si>
  <si>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</si>
  <si>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</si>
  <si>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</si>
  <si>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</si>
  <si>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</si>
  <si>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</si>
  <si>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</si>
  <si>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</si>
  <si>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</si>
  <si>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</si>
  <si>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</si>
  <si>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</si>
  <si>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</si>
  <si>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</si>
  <si>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</si>
  <si>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</si>
  <si>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</si>
  <si>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</si>
  <si>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</si>
  <si>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</si>
  <si>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</si>
  <si>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</si>
  <si>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</si>
  <si>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</si>
  <si>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</si>
  <si>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</si>
  <si>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</si>
  <si>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</si>
  <si>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</si>
  <si>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</si>
  <si>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</si>
  <si>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</si>
  <si>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</si>
  <si>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</si>
  <si>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</si>
  <si>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</si>
  <si>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</si>
  <si>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</si>
  <si>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</si>
  <si>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</si>
  <si>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</si>
  <si>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</si>
  <si>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</si>
  <si>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</si>
  <si>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</si>
  <si>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</si>
  <si>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</si>
  <si>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</si>
  <si>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</si>
  <si>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</si>
  <si>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</si>
  <si>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</si>
  <si>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</si>
  <si>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</si>
  <si>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</si>
  <si>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10</t>
  </si>
  <si>
    <t>Отчет об исполнении договора управления многоквартирного дома 
Мамина-Сибиряка, 10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</si>
  <si>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</si>
  <si>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</si>
  <si>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</si>
  <si>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</si>
  <si>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</si>
  <si>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</si>
  <si>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</si>
  <si>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</si>
  <si>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</si>
  <si>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</si>
  <si>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</si>
  <si>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</si>
  <si>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</si>
  <si>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Восстановление питания лифта.</t>
  </si>
  <si>
    <t>АВР 1/23 от 20.02.2023, Решение</t>
  </si>
  <si>
    <t>Приобретение и замена шаровый кран (Ду 65), предохранительный и обратный  клапана (Ду 15 и 25).</t>
  </si>
  <si>
    <t>АВР 2/23 от 06.03.2023, Решение, счет №123 от 06.03.2023</t>
  </si>
  <si>
    <t>АВР 3/23 от 15.12.2023, счет №3312 от 03.08.2023</t>
  </si>
  <si>
    <t>АВР 4/23 от 29.04.2023</t>
  </si>
  <si>
    <t>АВР 5/23 от29.12.2023</t>
  </si>
  <si>
    <t xml:space="preserve">  -  изготовление и монтаж козырька над подъездом</t>
  </si>
  <si>
    <t xml:space="preserve">  -  проведение ремонта асфальтного покрытия на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</si>
</sst>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0" fillId="0" borderId="0" xfId="0" applyNumberFormat="1" applyBorder="1"/>
    <xf numFmtId="0" fontId="16" fillId="0" borderId="0" xfId="0" applyFont="1" applyBorder="1" applyAlignment="1">
      <alignment wrapText="1"/>
    </xf>
    <xf numFmtId="4" fontId="16" fillId="0" borderId="0" xfId="0" applyNumberFormat="1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25" fillId="3" borderId="0" xfId="7" applyNumberFormat="1" applyFont="1" applyFill="1" applyBorder="1" applyAlignment="1">
      <alignment horizontal="left" vertical="center" wrapText="1"/>
    </xf>
    <xf numFmtId="0" fontId="23" fillId="0" borderId="0" xfId="11" applyNumberFormat="1" applyFont="1" applyFill="1" applyBorder="1" applyAlignment="1">
      <alignment horizontal="center" vertical="center"/>
    </xf>
    <xf numFmtId="4" fontId="6" fillId="0" borderId="0" xfId="11" applyNumberFormat="1" applyFill="1" applyBorder="1" applyAlignment="1"/>
    <xf numFmtId="0" fontId="6" fillId="0" borderId="0" xfId="11" applyFont="1" applyFill="1" applyBorder="1"/>
    <xf numFmtId="0" fontId="6" fillId="0" borderId="0" xfId="11" applyFont="1" applyFill="1" applyBorder="1" applyAlignment="1"/>
    <xf numFmtId="0" fontId="6" fillId="0" borderId="0" xfId="11" applyFont="1" applyFill="1" applyBorder="1" applyAlignment="1">
      <alignment horizontal="center"/>
    </xf>
    <xf numFmtId="0" fontId="0" fillId="0" borderId="0" xfId="0" applyFill="1" applyBorder="1"/>
    <xf numFmtId="4" fontId="15" fillId="0" borderId="0" xfId="1" applyNumberFormat="1" applyFont="1" applyBorder="1" applyAlignment="1" applyProtection="1">
      <alignment horizontal="center" vertical="center" wrapText="1"/>
      <protection locked="0"/>
    </xf>
    <xf numFmtId="4" fontId="15" fillId="0" borderId="0" xfId="0" applyNumberFormat="1" applyFont="1" applyBorder="1"/>
    <xf numFmtId="4" fontId="8" fillId="0" borderId="0" xfId="6" applyNumberFormat="1" applyFill="1" applyBorder="1" applyAlignment="1"/>
    <xf numFmtId="0" fontId="4" fillId="0" borderId="0" xfId="6" applyFont="1" applyFill="1" applyBorder="1"/>
    <xf numFmtId="0" fontId="5" fillId="0" borderId="0" xfId="11" applyFont="1" applyFill="1" applyBorder="1" applyAlignment="1"/>
    <xf numFmtId="0" fontId="3" fillId="0" borderId="0" xfId="17" applyFont="1" applyFill="1" applyBorder="1" applyAlignment="1"/>
    <xf numFmtId="0" fontId="9" fillId="0" borderId="0" xfId="5" applyFill="1" applyBorder="1" applyAlignment="1"/>
    <xf numFmtId="0" fontId="9" fillId="0" borderId="0" xfId="5" applyFill="1" applyBorder="1" applyAlignment="1">
      <alignment horizontal="center"/>
    </xf>
    <xf numFmtId="4" fontId="23" fillId="0" borderId="0" xfId="5" applyNumberFormat="1" applyFont="1" applyFill="1" applyBorder="1" applyAlignment="1"/>
    <xf numFmtId="0" fontId="9" fillId="0" borderId="0" xfId="5" applyNumberFormat="1" applyFill="1" applyBorder="1" applyAlignment="1">
      <alignment horizontal="center"/>
    </xf>
    <xf numFmtId="4" fontId="9" fillId="0" borderId="0" xfId="5" applyNumberFormat="1" applyFill="1" applyBorder="1" applyAlignment="1">
      <alignment vertical="center"/>
    </xf>
    <xf numFmtId="0" fontId="1" fillId="0" borderId="0" xfId="17" applyFont="1" applyFill="1" applyBorder="1" applyAlignment="1"/>
    <xf numFmtId="0" fontId="1" fillId="0" borderId="0" xfId="149" applyFont="1" applyFill="1" applyBorder="1" applyAlignment="1"/>
    <xf numFmtId="0" fontId="2" fillId="0" borderId="0" xfId="149" applyFont="1" applyFill="1" applyBorder="1" applyAlignment="1">
      <alignment horizontal="center"/>
    </xf>
    <xf numFmtId="1" fontId="2" fillId="0" borderId="0" xfId="149" applyNumberFormat="1" applyFill="1" applyBorder="1" applyAlignment="1">
      <alignment horizontal="center"/>
    </xf>
    <xf numFmtId="4" fontId="2" fillId="0" borderId="0" xfId="149" applyNumberFormat="1" applyFill="1" applyBorder="1" applyAlignment="1"/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57">
    <cellStyle name="Обычный" xfId="0" builtinId="0"/>
    <cellStyle name="Обычный 2" xfId="1"/>
    <cellStyle name="Обычный 2 10" xfId="26"/>
    <cellStyle name="Обычный 2 11" xfId="14"/>
    <cellStyle name="Обычный 2 12" xfId="141"/>
    <cellStyle name="Обычный 2 2" xfId="3"/>
    <cellStyle name="Обычный 2 3" xfId="8"/>
    <cellStyle name="Обычный 2 3 2" xfId="52"/>
    <cellStyle name="Обычный 2 3 2 2" xfId="133"/>
    <cellStyle name="Обычный 2 3 2 3" xfId="99"/>
    <cellStyle name="Обычный 2 3 3" xfId="84"/>
    <cellStyle name="Обычный 2 3 4" xfId="118"/>
    <cellStyle name="Обычный 2 3 5" xfId="71"/>
    <cellStyle name="Обычный 2 3 6" xfId="37"/>
    <cellStyle name="Обычный 2 3 7" xfId="21"/>
    <cellStyle name="Обычный 2 3 8" xfId="145"/>
    <cellStyle name="Обычный 2 4" xfId="56"/>
    <cellStyle name="Обычный 2 4 2" xfId="103"/>
    <cellStyle name="Обычный 2 4 3" xfId="137"/>
    <cellStyle name="Обычный 2 4 4" xfId="75"/>
    <cellStyle name="Обычный 2 4 5" xfId="151"/>
    <cellStyle name="Обычный 2 5" xfId="7"/>
    <cellStyle name="Обычный 2 5 2" xfId="13"/>
    <cellStyle name="Обычный 2 5 2 2" xfId="129"/>
    <cellStyle name="Обычный 2 5 2 3" xfId="95"/>
    <cellStyle name="Обычный 2 5 2 4" xfId="48"/>
    <cellStyle name="Обычный 2 5 2 5" xfId="156"/>
    <cellStyle name="Обычный 2 5 3" xfId="111"/>
    <cellStyle name="Обычный 2 5 4" xfId="67"/>
    <cellStyle name="Обычный 2 5 5" xfId="30"/>
    <cellStyle name="Обычный 2 5 6" xfId="25"/>
    <cellStyle name="Обычный 2 5 7" xfId="150"/>
    <cellStyle name="Обычный 2 6" xfId="41"/>
    <cellStyle name="Обычный 2 6 2" xfId="122"/>
    <cellStyle name="Обычный 2 6 3" xfId="88"/>
    <cellStyle name="Обычный 2 7" xfId="32"/>
    <cellStyle name="Обычный 2 7 2" xfId="113"/>
    <cellStyle name="Обычный 2 7 3" xfId="79"/>
    <cellStyle name="Обычный 2 8" xfId="107"/>
    <cellStyle name="Обычный 2 9" xfId="60"/>
    <cellStyle name="Обычный 3" xfId="2"/>
    <cellStyle name="Обычный 3 10" xfId="15"/>
    <cellStyle name="Обычный 3 11" xfId="142"/>
    <cellStyle name="Обычный 3 2" xfId="9"/>
    <cellStyle name="Обычный 3 2 2" xfId="53"/>
    <cellStyle name="Обычный 3 2 2 2" xfId="100"/>
    <cellStyle name="Обычный 3 2 2 3" xfId="134"/>
    <cellStyle name="Обычный 3 2 2 4" xfId="72"/>
    <cellStyle name="Обычный 3 2 3" xfId="46"/>
    <cellStyle name="Обычный 3 2 3 2" xfId="127"/>
    <cellStyle name="Обычный 3 2 3 3" xfId="93"/>
    <cellStyle name="Обычный 3 2 4" xfId="85"/>
    <cellStyle name="Обычный 3 2 5" xfId="119"/>
    <cellStyle name="Обычный 3 2 6" xfId="65"/>
    <cellStyle name="Обычный 3 2 7" xfId="38"/>
    <cellStyle name="Обычный 3 2 8" xfId="20"/>
    <cellStyle name="Обычный 3 2 9" xfId="146"/>
    <cellStyle name="Обычный 3 3" xfId="19"/>
    <cellStyle name="Обычный 3 3 2" xfId="104"/>
    <cellStyle name="Обычный 3 3 3" xfId="138"/>
    <cellStyle name="Обычный 3 3 4" xfId="76"/>
    <cellStyle name="Обычный 3 3 5" xfId="57"/>
    <cellStyle name="Обычный 3 3 6" xfId="152"/>
    <cellStyle name="Обычный 3 4" xfId="22"/>
    <cellStyle name="Обычный 3 4 2" xfId="96"/>
    <cellStyle name="Обычный 3 4 3" xfId="130"/>
    <cellStyle name="Обычный 3 4 4" xfId="68"/>
    <cellStyle name="Обычный 3 4 5" xfId="49"/>
    <cellStyle name="Обычный 3 5" xfId="42"/>
    <cellStyle name="Обычный 3 5 2" xfId="123"/>
    <cellStyle name="Обычный 3 5 3" xfId="89"/>
    <cellStyle name="Обычный 3 6" xfId="33"/>
    <cellStyle name="Обычный 3 6 2" xfId="114"/>
    <cellStyle name="Обычный 3 6 3" xfId="80"/>
    <cellStyle name="Обычный 3 7" xfId="108"/>
    <cellStyle name="Обычный 3 8" xfId="61"/>
    <cellStyle name="Обычный 3 9" xfId="27"/>
    <cellStyle name="Обычный 4" xfId="4"/>
    <cellStyle name="Обычный 4 10" xfId="16"/>
    <cellStyle name="Обычный 4 11" xfId="143"/>
    <cellStyle name="Обычный 4 2" xfId="10"/>
    <cellStyle name="Обычный 4 2 2" xfId="54"/>
    <cellStyle name="Обычный 4 2 2 2" xfId="101"/>
    <cellStyle name="Обычный 4 2 2 3" xfId="135"/>
    <cellStyle name="Обычный 4 2 2 4" xfId="73"/>
    <cellStyle name="Обычный 4 2 3" xfId="47"/>
    <cellStyle name="Обычный 4 2 3 2" xfId="128"/>
    <cellStyle name="Обычный 4 2 3 3" xfId="94"/>
    <cellStyle name="Обычный 4 2 4" xfId="86"/>
    <cellStyle name="Обычный 4 2 5" xfId="120"/>
    <cellStyle name="Обычный 4 2 6" xfId="66"/>
    <cellStyle name="Обычный 4 2 7" xfId="39"/>
    <cellStyle name="Обычный 4 2 8" xfId="23"/>
    <cellStyle name="Обычный 4 2 9" xfId="147"/>
    <cellStyle name="Обычный 4 3" xfId="58"/>
    <cellStyle name="Обычный 4 3 2" xfId="105"/>
    <cellStyle name="Обычный 4 3 3" xfId="139"/>
    <cellStyle name="Обычный 4 3 4" xfId="77"/>
    <cellStyle name="Обычный 4 3 5" xfId="153"/>
    <cellStyle name="Обычный 4 4" xfId="50"/>
    <cellStyle name="Обычный 4 4 2" xfId="97"/>
    <cellStyle name="Обычный 4 4 3" xfId="131"/>
    <cellStyle name="Обычный 4 4 4" xfId="69"/>
    <cellStyle name="Обычный 4 5" xfId="43"/>
    <cellStyle name="Обычный 4 5 2" xfId="124"/>
    <cellStyle name="Обычный 4 5 3" xfId="90"/>
    <cellStyle name="Обычный 4 6" xfId="34"/>
    <cellStyle name="Обычный 4 6 2" xfId="115"/>
    <cellStyle name="Обычный 4 6 3" xfId="81"/>
    <cellStyle name="Обычный 4 7" xfId="109"/>
    <cellStyle name="Обычный 4 8" xfId="62"/>
    <cellStyle name="Обычный 4 9" xfId="28"/>
    <cellStyle name="Обычный 5" xfId="5"/>
    <cellStyle name="Обычный 5 10" xfId="17"/>
    <cellStyle name="Обычный 5 11" xfId="144"/>
    <cellStyle name="Обычный 5 2" xfId="6"/>
    <cellStyle name="Обычный 5 2 2" xfId="55"/>
    <cellStyle name="Обычный 5 2 2 2" xfId="136"/>
    <cellStyle name="Обычный 5 2 2 3" xfId="102"/>
    <cellStyle name="Обычный 5 2 3" xfId="40"/>
    <cellStyle name="Обычный 5 2 3 2" xfId="121"/>
    <cellStyle name="Обычный 5 2 3 3" xfId="87"/>
    <cellStyle name="Обычный 5 2 4" xfId="112"/>
    <cellStyle name="Обычный 5 2 5" xfId="74"/>
    <cellStyle name="Обычный 5 2 6" xfId="31"/>
    <cellStyle name="Обычный 5 2 7" xfId="24"/>
    <cellStyle name="Обычный 5 2 8" xfId="149"/>
    <cellStyle name="Обычный 5 3" xfId="11"/>
    <cellStyle name="Обычный 5 3 2" xfId="59"/>
    <cellStyle name="Обычный 5 3 2 2" xfId="140"/>
    <cellStyle name="Обычный 5 3 2 3" xfId="106"/>
    <cellStyle name="Обычный 5 3 3" xfId="83"/>
    <cellStyle name="Обычный 5 3 4" xfId="117"/>
    <cellStyle name="Обычный 5 3 5" xfId="78"/>
    <cellStyle name="Обычный 5 3 6" xfId="36"/>
    <cellStyle name="Обычный 5 3 7" xfId="148"/>
    <cellStyle name="Обычный 5 4" xfId="51"/>
    <cellStyle name="Обычный 5 4 2" xfId="98"/>
    <cellStyle name="Обычный 5 4 3" xfId="132"/>
    <cellStyle name="Обычный 5 4 4" xfId="70"/>
    <cellStyle name="Обычный 5 4 5" xfId="154"/>
    <cellStyle name="Обычный 5 5" xfId="44"/>
    <cellStyle name="Обычный 5 5 2" xfId="125"/>
    <cellStyle name="Обычный 5 5 3" xfId="91"/>
    <cellStyle name="Обычный 5 6" xfId="35"/>
    <cellStyle name="Обычный 5 6 2" xfId="116"/>
    <cellStyle name="Обычный 5 6 3" xfId="82"/>
    <cellStyle name="Обычный 5 7" xfId="110"/>
    <cellStyle name="Обычный 5 8" xfId="63"/>
    <cellStyle name="Обычный 5 9" xfId="29"/>
    <cellStyle name="Обычный 6" xfId="12"/>
    <cellStyle name="Обычный 6 2" xfId="92"/>
    <cellStyle name="Обычный 6 3" xfId="126"/>
    <cellStyle name="Обычный 6 4" xfId="64"/>
    <cellStyle name="Обычный 6 5" xfId="45"/>
    <cellStyle name="Обычный 6 6" xfId="155"/>
    <cellStyle name="Финансовый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1" t="s">
        <v>178</v>
      </c>
      <c r="B2" s="171"/>
      <c r="C2" s="171"/>
      <c r="D2" s="171"/>
      <c r="E2" s="171"/>
      <c r="F2" s="171"/>
      <c r="G2" s="171"/>
      <c r="H2" s="171"/>
      <c r="I2" s="171"/>
      <c r="J2" s="17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44927</v>
      </c>
      <c r="K4" s="109"/>
      <c r="L4" s="109"/>
      <c r="M4" s="109"/>
      <c r="N4" s="109"/>
    </row>
    <row r="5" spans="1:18">
      <c r="A5" s="1" t="s">
        <v>1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8" t="s">
        <v>2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09"/>
      <c r="L8" s="172"/>
      <c r="M8" s="109"/>
      <c r="N8" s="109"/>
      <c r="O8" s="70" t="s">
        <v>83</v>
      </c>
      <c r="R8" s="16"/>
    </row>
    <row r="9" spans="1:18" ht="18.75" customHeight="1" outlineLevel="1">
      <c r="A9" s="168" t="s">
        <v>3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09"/>
      <c r="L9" s="172"/>
      <c r="M9" s="109"/>
      <c r="N9" s="109"/>
      <c r="O9" s="70" t="s">
        <v>84</v>
      </c>
    </row>
    <row r="10" spans="1:18" ht="18.75" customHeight="1" outlineLevel="1">
      <c r="A10" s="168" t="s">
        <v>4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289902.39</v>
      </c>
      <c r="K10" s="109"/>
      <c r="L10" s="172"/>
      <c r="M10" s="109"/>
      <c r="N10" s="109"/>
      <c r="O10" s="70" t="s">
        <v>85</v>
      </c>
    </row>
    <row r="11" spans="1:18" outlineLevel="1">
      <c r="A11" s="168" t="s">
        <v>5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465512.82</v>
      </c>
      <c r="K11" s="109"/>
      <c r="L11" s="172"/>
      <c r="M11" s="109"/>
      <c r="N11" s="109"/>
      <c r="O11" s="70" t="s">
        <v>86</v>
      </c>
    </row>
    <row r="12" spans="1:18" ht="18.75" customHeight="1" outlineLevel="1">
      <c r="A12" s="168" t="s">
        <v>6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331074.42</v>
      </c>
      <c r="K12" s="109"/>
      <c r="L12" s="172"/>
      <c r="M12" s="109"/>
      <c r="N12" s="109"/>
      <c r="O12" s="70" t="s">
        <v>87</v>
      </c>
    </row>
    <row r="13" spans="1:18" ht="18.75" customHeight="1" outlineLevel="1">
      <c r="A13" s="168" t="s">
        <v>7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134438.40000000002</v>
      </c>
      <c r="K13" s="109"/>
      <c r="L13" s="172"/>
      <c r="M13" s="109"/>
      <c r="N13" s="109"/>
      <c r="O13" s="70" t="s">
        <v>88</v>
      </c>
    </row>
    <row r="14" spans="1:18" ht="18.75" customHeight="1" outlineLevel="1">
      <c r="A14" s="168" t="s">
        <v>8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0</v>
      </c>
      <c r="K14" s="109"/>
      <c r="L14" s="172"/>
      <c r="M14" s="109"/>
      <c r="N14" s="109"/>
      <c r="O14" s="70" t="s">
        <v>89</v>
      </c>
    </row>
    <row r="15" spans="1:18" ht="18.75" customHeight="1" outlineLevel="1">
      <c r="A15" s="168" t="s">
        <v>9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495181.49</v>
      </c>
      <c r="K15" s="109"/>
      <c r="L15" s="172"/>
      <c r="M15" s="109"/>
      <c r="N15" s="109"/>
      <c r="O15" s="70" t="s">
        <v>90</v>
      </c>
    </row>
    <row r="16" spans="1:18" ht="18.75" customHeight="1" outlineLevel="1">
      <c r="A16" s="168" t="s">
        <v>10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495181.49</v>
      </c>
      <c r="K16" s="109"/>
      <c r="L16" s="172"/>
      <c r="M16" s="109"/>
      <c r="N16" s="109"/>
      <c r="O16" s="70" t="s">
        <v>91</v>
      </c>
    </row>
    <row r="17" spans="1:23" ht="18.75" customHeight="1" outlineLevel="1">
      <c r="A17" s="168" t="s">
        <v>11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09"/>
      <c r="L17" s="172"/>
      <c r="M17" s="109"/>
      <c r="N17" s="109"/>
      <c r="O17" s="70" t="s">
        <v>92</v>
      </c>
    </row>
    <row r="18" spans="1:23" ht="18.75" customHeight="1" outlineLevel="1">
      <c r="A18" s="168" t="s">
        <v>12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09"/>
      <c r="L18" s="172"/>
      <c r="M18" s="109"/>
      <c r="N18" s="109"/>
      <c r="O18" s="70" t="s">
        <v>93</v>
      </c>
    </row>
    <row r="19" spans="1:23" ht="18.75" customHeight="1" outlineLevel="1">
      <c r="A19" s="168" t="s">
        <v>13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09"/>
      <c r="L19" s="172"/>
      <c r="M19" s="109"/>
      <c r="N19" s="109"/>
      <c r="O19" s="70" t="s">
        <v>94</v>
      </c>
    </row>
    <row r="20" spans="1:23" ht="18.75" customHeight="1" outlineLevel="1">
      <c r="A20" s="168" t="s">
        <v>14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09"/>
      <c r="L20" s="172"/>
      <c r="M20" s="109"/>
      <c r="N20" s="109"/>
      <c r="O20" s="70" t="s">
        <v>95</v>
      </c>
    </row>
    <row r="21" spans="1:23" ht="18.75" customHeight="1" outlineLevel="1">
      <c r="A21" s="168" t="s">
        <v>15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495181.49</v>
      </c>
      <c r="K21" s="109"/>
      <c r="L21" s="172"/>
      <c r="M21" s="109"/>
      <c r="N21" s="109"/>
      <c r="O21" s="70" t="s">
        <v>96</v>
      </c>
    </row>
    <row r="22" spans="1:23" ht="18.75" customHeight="1" outlineLevel="1">
      <c r="A22" s="168" t="s">
        <v>16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09"/>
      <c r="L22" s="172"/>
      <c r="M22" s="109"/>
      <c r="N22" s="109"/>
      <c r="O22" s="70" t="s">
        <v>97</v>
      </c>
    </row>
    <row r="23" spans="1:23" ht="18.75" customHeight="1" outlineLevel="1">
      <c r="A23" s="168" t="s">
        <v>17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09"/>
      <c r="L23" s="172"/>
      <c r="M23" s="109"/>
      <c r="N23" s="109"/>
      <c r="O23" s="70" t="s">
        <v>98</v>
      </c>
    </row>
    <row r="24" spans="1:23" ht="18.75" customHeight="1" outlineLevel="1">
      <c r="A24" s="168" t="s">
        <v>18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260233.71999999997</v>
      </c>
      <c r="K24" s="109"/>
      <c r="L24" s="172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09"/>
      <c r="L27" s="17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0">
        <f>VLOOKUP(A28,ПТО!$A$39:$D$53,2,FALSE)</f>
        <v>68115.48</v>
      </c>
      <c r="G28" s="150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09"/>
      <c r="L28" s="17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9"/>
      <c r="C29" s="149"/>
      <c r="D29" s="149"/>
      <c r="E29" s="149"/>
      <c r="F29" s="150">
        <f>VLOOKUP(A29,ПТО!$A$39:$D$53,2,FALSE)</f>
        <v>89401.56</v>
      </c>
      <c r="G29" s="150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09"/>
      <c r="L29" s="173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0">
        <f>VLOOKUP(A30,ПТО!$A$39:$D$53,2,FALSE)</f>
        <v>46605.36</v>
      </c>
      <c r="G30" s="150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09"/>
      <c r="L30" s="17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0">
        <f>VLOOKUP(A31,ПТО!$A$39:$D$53,2,FALSE)</f>
        <v>26887.68</v>
      </c>
      <c r="G31" s="150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09"/>
      <c r="L31" s="17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09"/>
      <c r="L32" s="17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0">
        <f>VLOOKUP(A33,ПТО!$A$39:$D$53,2,FALSE)</f>
        <v>8738.52</v>
      </c>
      <c r="G33" s="150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09"/>
      <c r="L33" s="17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0">
        <f>VLOOKUP(A34,ПТО!$A$39:$D$53,2,FALSE)</f>
        <v>50190.36</v>
      </c>
      <c r="G34" s="150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09"/>
      <c r="L34" s="17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Работы по содержанию лифта (лифтов)</v>
      </c>
      <c r="B35" s="149"/>
      <c r="C35" s="149"/>
      <c r="D35" s="149"/>
      <c r="E35" s="149"/>
      <c r="F35" s="150">
        <f>VLOOKUP(A35,ПТО!$A$39:$D$53,2,FALSE)</f>
        <v>53999.4</v>
      </c>
      <c r="G35" s="150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09"/>
      <c r="L35" s="173"/>
      <c r="M35" s="116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09"/>
      <c r="L36" s="173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09"/>
      <c r="L37" s="173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09"/>
      <c r="L38" s="173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09"/>
      <c r="L39" s="173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09"/>
      <c r="L40" s="173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09"/>
      <c r="L41" s="173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09"/>
      <c r="L42" s="173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09"/>
      <c r="L43" s="173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9" t="str">
        <f>ПТО!A3</f>
        <v>Техническое обслуживание охранной сигнализации.</v>
      </c>
      <c r="B44" s="149"/>
      <c r="C44" s="149"/>
      <c r="D44" s="149"/>
      <c r="E44" s="149"/>
      <c r="F44" s="150">
        <f>VLOOKUP(A44,ПТО!$A$2:$D$31,4,FALSE)</f>
        <v>21000</v>
      </c>
      <c r="G44" s="150"/>
      <c r="H44" s="25" t="str">
        <f>VLOOKUP(A44,ПТО!$A$2:$D$31,2,FALSE)</f>
        <v>ежемесячно</v>
      </c>
      <c r="I44" s="151">
        <f>VLOOKUP(A44,ПТО!$A$2:$D$31,3,FALSE)</f>
        <v>12</v>
      </c>
      <c r="J44" s="151"/>
      <c r="K44" s="109"/>
      <c r="L44" s="173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49" t="str">
        <f>ПТО!A4</f>
        <v>Механизированная уборка и вывоз снега с придомовой территории.</v>
      </c>
      <c r="B45" s="149"/>
      <c r="C45" s="149"/>
      <c r="D45" s="149"/>
      <c r="E45" s="149"/>
      <c r="F45" s="150">
        <f>VLOOKUP(A45,ПТО!$A$2:$D$31,4,FALSE)</f>
        <v>23167</v>
      </c>
      <c r="G45" s="150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09"/>
      <c r="L45" s="173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49" t="str">
        <f>ПТО!A5</f>
        <v>Восстановление питания лифта.</v>
      </c>
      <c r="B46" s="149"/>
      <c r="C46" s="149"/>
      <c r="D46" s="149"/>
      <c r="E46" s="149"/>
      <c r="F46" s="150">
        <f>VLOOKUP(A46,ПТО!$A$2:$D$31,4,FALSE)</f>
        <v>923</v>
      </c>
      <c r="G46" s="150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09"/>
      <c r="L46" s="173"/>
      <c r="M46" s="116"/>
      <c r="N46" s="109"/>
      <c r="O46" s="23" t="str">
        <f t="shared" si="1"/>
        <v>Восстановление питания лифта.</v>
      </c>
      <c r="R46" s="22" t="s">
        <v>72</v>
      </c>
    </row>
    <row r="47" spans="1:18" ht="51" customHeight="1" outlineLevel="1">
      <c r="A47" s="149" t="str">
        <f>ПТО!A6</f>
        <v>Приобретение и замена шаровый кран (Ду 65), предохранительный и обратный  клапана (Ду 15 и 25).</v>
      </c>
      <c r="B47" s="149"/>
      <c r="C47" s="149"/>
      <c r="D47" s="149"/>
      <c r="E47" s="149"/>
      <c r="F47" s="150">
        <f>VLOOKUP(A47,ПТО!$A$2:$D$31,4,FALSE)</f>
        <v>4051</v>
      </c>
      <c r="G47" s="150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09"/>
      <c r="L47" s="173"/>
      <c r="M47" s="116"/>
      <c r="N47" s="109"/>
      <c r="O47" s="23" t="str">
        <f t="shared" si="1"/>
        <v>Приобретение и замена шаровый кран (Ду 65), предохранительный и обратный  клапана (Ду 15 и 25).</v>
      </c>
      <c r="R47" s="22" t="s">
        <v>72</v>
      </c>
    </row>
    <row r="48" spans="1:18" ht="51" hidden="1" customHeight="1" outlineLevel="1">
      <c r="A48" s="149">
        <f>ПТО!A7</f>
        <v>0</v>
      </c>
      <c r="B48" s="149"/>
      <c r="C48" s="149"/>
      <c r="D48" s="149"/>
      <c r="E48" s="149"/>
      <c r="F48" s="150" t="e">
        <f>VLOOKUP(A48,ПТО!$A$2:$D$31,4,FALSE)</f>
        <v>#N/A</v>
      </c>
      <c r="G48" s="150"/>
      <c r="H48" s="25" t="e">
        <f>VLOOKUP(A48,ПТО!$A$2:$D$31,2,FALSE)</f>
        <v>#N/A</v>
      </c>
      <c r="I48" s="151" t="e">
        <f>VLOOKUP(A48,ПТО!$A$2:$D$31,3,FALSE)</f>
        <v>#N/A</v>
      </c>
      <c r="J48" s="151"/>
      <c r="K48" s="109"/>
      <c r="L48" s="173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49">
        <f>ПТО!A8</f>
        <v>0</v>
      </c>
      <c r="B49" s="149"/>
      <c r="C49" s="149"/>
      <c r="D49" s="149"/>
      <c r="E49" s="149"/>
      <c r="F49" s="150" t="e">
        <f>VLOOKUP(A49,ПТО!$A$2:$D$31,4,FALSE)</f>
        <v>#N/A</v>
      </c>
      <c r="G49" s="150"/>
      <c r="H49" s="25" t="e">
        <f>VLOOKUP(A49,ПТО!$A$2:$D$31,2,FALSE)</f>
        <v>#N/A</v>
      </c>
      <c r="I49" s="151" t="e">
        <f>VLOOKUP(A49,ПТО!$A$2:$D$31,3,FALSE)</f>
        <v>#N/A</v>
      </c>
      <c r="J49" s="151"/>
      <c r="K49" s="109"/>
      <c r="L49" s="173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0" t="e">
        <f>VLOOKUP(A50,ПТО!$A$2:$D$31,4,FALSE)</f>
        <v>#N/A</v>
      </c>
      <c r="G50" s="150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09"/>
      <c r="L50" s="173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09"/>
      <c r="L51" s="173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09"/>
      <c r="L52" s="173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09"/>
      <c r="L53" s="173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09"/>
      <c r="L54" s="173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09"/>
      <c r="L55" s="173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09"/>
      <c r="L56" s="173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09"/>
      <c r="L57" s="173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09"/>
      <c r="L58" s="173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09"/>
      <c r="L59" s="173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09"/>
      <c r="L60" s="173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09"/>
      <c r="L61" s="173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09"/>
      <c r="L62" s="173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09"/>
      <c r="L63" s="173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09"/>
      <c r="L64" s="173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09"/>
      <c r="L65" s="173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09"/>
      <c r="L66" s="173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09"/>
      <c r="L67" s="173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09"/>
      <c r="L68" s="173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09"/>
      <c r="L69" s="173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09"/>
      <c r="L70" s="173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6"/>
      <c r="L71" s="173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09"/>
      <c r="L72" s="173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09"/>
      <c r="L75" s="156"/>
      <c r="M75" s="109"/>
      <c r="N75" s="109"/>
      <c r="O75" s="70" t="s">
        <v>100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09"/>
      <c r="L76" s="156"/>
      <c r="M76" s="109"/>
      <c r="N76" s="109"/>
      <c r="O76" s="70" t="s">
        <v>101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09"/>
      <c r="L77" s="156"/>
      <c r="M77" s="109"/>
      <c r="N77" s="109"/>
      <c r="O77" s="70" t="s">
        <v>102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7">
        <f>VLOOKUP(O78,АО,3,FALSE)</f>
        <v>0</v>
      </c>
      <c r="K78" s="109"/>
      <c r="L78" s="156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7" t="s">
        <v>2</v>
      </c>
      <c r="B81" s="157"/>
      <c r="C81" s="157"/>
      <c r="D81" s="157"/>
      <c r="E81" s="157"/>
      <c r="F81" s="157"/>
      <c r="G81" s="157"/>
      <c r="H81" s="157"/>
      <c r="I81" s="157"/>
      <c r="J81" s="97">
        <f t="shared" ref="J81:J90" si="2">VLOOKUP(O81,АО,3,FALSE)</f>
        <v>0</v>
      </c>
      <c r="K81" s="109"/>
      <c r="L81" s="174"/>
      <c r="M81" s="109"/>
      <c r="N81" s="109"/>
      <c r="O81" s="70" t="s">
        <v>104</v>
      </c>
    </row>
    <row r="82" spans="1:15" outlineLevel="1">
      <c r="A82" s="157" t="s">
        <v>3</v>
      </c>
      <c r="B82" s="157"/>
      <c r="C82" s="157"/>
      <c r="D82" s="157"/>
      <c r="E82" s="157"/>
      <c r="F82" s="157"/>
      <c r="G82" s="157"/>
      <c r="H82" s="157"/>
      <c r="I82" s="157"/>
      <c r="J82" s="97">
        <f t="shared" si="2"/>
        <v>0</v>
      </c>
      <c r="K82" s="109"/>
      <c r="L82" s="174"/>
      <c r="M82" s="109"/>
      <c r="N82" s="109"/>
      <c r="O82" s="70" t="s">
        <v>105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7">
        <f t="shared" si="2"/>
        <v>126262.42</v>
      </c>
      <c r="K83" s="109"/>
      <c r="L83" s="174"/>
      <c r="M83" s="109"/>
      <c r="N83" s="109"/>
      <c r="O83" s="70" t="s">
        <v>106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7">
        <f t="shared" si="2"/>
        <v>0</v>
      </c>
      <c r="K84" s="109"/>
      <c r="L84" s="174"/>
      <c r="M84" s="109"/>
      <c r="N84" s="109"/>
      <c r="O84" s="70" t="s">
        <v>107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7">
        <f t="shared" si="2"/>
        <v>0</v>
      </c>
      <c r="K85" s="109"/>
      <c r="L85" s="174"/>
      <c r="M85" s="109"/>
      <c r="N85" s="109"/>
      <c r="O85" s="70" t="s">
        <v>108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7">
        <f t="shared" si="2"/>
        <v>107587.95</v>
      </c>
      <c r="K86" s="109"/>
      <c r="L86" s="174"/>
      <c r="M86" s="109"/>
      <c r="N86" s="109"/>
      <c r="O86" s="70" t="s">
        <v>109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09"/>
      <c r="L87" s="174"/>
      <c r="M87" s="109"/>
      <c r="N87" s="109"/>
      <c r="O87" s="70" t="s">
        <v>110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09"/>
      <c r="L88" s="174"/>
      <c r="M88" s="109"/>
      <c r="N88" s="109"/>
      <c r="O88" s="70" t="s">
        <v>111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09"/>
      <c r="L89" s="174"/>
      <c r="M89" s="109"/>
      <c r="N89" s="109"/>
      <c r="O89" s="70" t="s">
        <v>112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7">
        <f t="shared" si="2"/>
        <v>0</v>
      </c>
      <c r="K90" s="109"/>
      <c r="L90" s="174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8" t="s">
        <v>48</v>
      </c>
      <c r="B93" s="158"/>
      <c r="C93" s="158"/>
      <c r="D93" s="161" t="s">
        <v>49</v>
      </c>
      <c r="E93" s="161"/>
      <c r="F93" s="10" t="s">
        <v>50</v>
      </c>
      <c r="G93" s="158" t="s">
        <v>51</v>
      </c>
      <c r="H93" s="158"/>
      <c r="I93" s="158"/>
      <c r="J93" s="158"/>
      <c r="K93" s="109"/>
      <c r="L93" s="109"/>
      <c r="M93" s="109"/>
      <c r="N93" s="109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59">
        <f>VLOOKUP("эл",АО,5,FALSE)</f>
        <v>202543.46</v>
      </c>
      <c r="H94" s="160"/>
      <c r="I94" s="160"/>
      <c r="J94" s="160"/>
      <c r="K94" s="1" t="str">
        <f>VLOOKUP("эл",АО,2,FALSE)</f>
        <v>Электроснабжение</v>
      </c>
      <c r="L94" s="175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148929.01</v>
      </c>
      <c r="L95" s="175"/>
      <c r="O95" s="1" t="s">
        <v>114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207470.34</v>
      </c>
      <c r="L96" s="175"/>
      <c r="O96" s="1" t="s">
        <v>115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0</v>
      </c>
      <c r="L97" s="175"/>
      <c r="O97" s="1" t="s">
        <v>116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202543.46</v>
      </c>
      <c r="L98" s="175"/>
      <c r="O98" s="1" t="s">
        <v>117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202543.46</v>
      </c>
      <c r="L99" s="175"/>
      <c r="O99" s="1" t="s">
        <v>118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75"/>
      <c r="O100" s="1" t="s">
        <v>119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75"/>
      <c r="O101" s="1" t="s">
        <v>120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59">
        <f>VLOOKUP("хвс",АО,5,FALSE)</f>
        <v>89263.25</v>
      </c>
      <c r="H102" s="160"/>
      <c r="I102" s="160"/>
      <c r="J102" s="160"/>
      <c r="L102" s="175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6126.51</v>
      </c>
      <c r="L103" s="175"/>
      <c r="O103" s="1" t="s">
        <v>123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91627.73</v>
      </c>
      <c r="L104" s="175"/>
      <c r="O104" s="1" t="s">
        <v>124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0</v>
      </c>
      <c r="L105" s="175"/>
      <c r="O105" s="1" t="s">
        <v>125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89263.25</v>
      </c>
      <c r="L106" s="175"/>
      <c r="O106" s="1" t="s">
        <v>126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89263.25</v>
      </c>
      <c r="L107" s="175"/>
      <c r="O107" s="1" t="s">
        <v>127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75"/>
      <c r="O108" s="1" t="s">
        <v>128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75"/>
      <c r="O109" s="1" t="s">
        <v>129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59">
        <f>VLOOKUP("воо",АО,5,FALSE)</f>
        <v>108538.51</v>
      </c>
      <c r="H110" s="160"/>
      <c r="I110" s="160"/>
      <c r="J110" s="160"/>
      <c r="L110" s="175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6128.66</v>
      </c>
      <c r="L111" s="175"/>
      <c r="O111" s="1" t="s">
        <v>131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116862.23</v>
      </c>
      <c r="L112" s="175"/>
      <c r="O112" s="1" t="s">
        <v>132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0</v>
      </c>
      <c r="L113" s="175"/>
      <c r="O113" s="1" t="s">
        <v>133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108538.51</v>
      </c>
      <c r="L114" s="175"/>
      <c r="O114" s="1" t="s">
        <v>134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108538.51</v>
      </c>
      <c r="L115" s="175"/>
      <c r="O115" s="1" t="s">
        <v>135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75"/>
      <c r="O116" s="1" t="s">
        <v>136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75"/>
      <c r="O117" s="1" t="s">
        <v>137</v>
      </c>
    </row>
    <row r="118" spans="1:15" ht="32.25" customHeight="1" outlineLevel="1">
      <c r="A118" s="162" t="str">
        <f>IF(VLOOKUP("тко",АО,3,FALSE)&gt;0,"Обращение с ТКО",0)</f>
        <v>Обращение с ТКО</v>
      </c>
      <c r="B118" s="162"/>
      <c r="C118" s="162"/>
      <c r="D118" s="160" t="str">
        <f>IF(VLOOKUP("тко",АО,3,FALSE)&gt;0,VLOOKUP("тко",АО,3,FALSE),0)</f>
        <v>Предоставляется</v>
      </c>
      <c r="E118" s="160"/>
      <c r="F118" s="13" t="str">
        <f>IF(VLOOKUP("тко",АО,3,FALSE)&gt;0,VLOOKUP("тко",АО,4,FALSE),0)</f>
        <v>куб.м.</v>
      </c>
      <c r="G118" s="159">
        <f>VLOOKUP("тко",АО,5,FALSE)</f>
        <v>81532.320000000007</v>
      </c>
      <c r="H118" s="160"/>
      <c r="I118" s="160"/>
      <c r="J118" s="160"/>
      <c r="L118" s="47"/>
    </row>
    <row r="119" spans="1:15" ht="32.25" customHeight="1" outlineLevel="2">
      <c r="A119" s="157" t="str">
        <f t="shared" ref="A119:A125" si="8">IF(VLOOKUP("тко",АО,3,FALSE)&gt;0,VLOOKUP(O119,АО,2,FALSE),0)</f>
        <v>Общий объем потребления, нат. показ.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150.87</v>
      </c>
      <c r="L119" s="47"/>
      <c r="O119" s="1" t="s">
        <v>139</v>
      </c>
    </row>
    <row r="120" spans="1:15" ht="32.25" customHeight="1" outlineLevel="2">
      <c r="A120" s="157" t="str">
        <f t="shared" si="8"/>
        <v>Оплачено потребителями, руб.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84591.71</v>
      </c>
      <c r="L120" s="47"/>
      <c r="O120" s="1" t="s">
        <v>140</v>
      </c>
    </row>
    <row r="121" spans="1:15" ht="32.25" customHeight="1" outlineLevel="2">
      <c r="A121" s="157" t="str">
        <f t="shared" si="8"/>
        <v>Задолженность потребителей, руб.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57" t="str">
        <f t="shared" si="8"/>
        <v>Начислено поставщиком (поставщиками) коммунального ресурса, руб.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81532.320000000007</v>
      </c>
      <c r="L122" s="47"/>
      <c r="O122" s="1" t="s">
        <v>142</v>
      </c>
    </row>
    <row r="123" spans="1:15" ht="32.25" customHeight="1" outlineLevel="2">
      <c r="A123" s="157" t="str">
        <f t="shared" si="8"/>
        <v>Оплачено поставщику (поставщикам) коммунального ресурса, руб.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81532.320000000007</v>
      </c>
      <c r="L123" s="47"/>
      <c r="O123" s="1" t="s">
        <v>143</v>
      </c>
    </row>
    <row r="124" spans="1:15" ht="32.25" customHeight="1" outlineLevel="2">
      <c r="A124" s="157" t="str">
        <f t="shared" si="8"/>
        <v>Задолженность перед поставщиком (поставщиками) коммунального ресурса, руб.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57" t="str">
        <f t="shared" si="8"/>
        <v>Размер пени и штрафов, уплаченных поставщику (поставщикам) коммунального ресурса, руб.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2">
        <f>IF(VLOOKUP("гвс",АО,3,FALSE)&gt;0,"Горячее водоснабжение",0)</f>
        <v>0</v>
      </c>
      <c r="B126" s="162"/>
      <c r="C126" s="162"/>
      <c r="D126" s="160">
        <f>IF(VLOOKUP("гвс",АО,3,FALSE)&gt;0,VLOOKUP("гвс",АО,3,FALSE),0)</f>
        <v>0</v>
      </c>
      <c r="E126" s="160"/>
      <c r="F126" s="13">
        <f>IF(VLOOKUP("гвс",АО,3,FALSE)&gt;0,VLOOKUP("гвс",АО,4,FALSE),0)</f>
        <v>0</v>
      </c>
      <c r="G126" s="159">
        <f>VLOOKUP("гвс",АО,5,FALSE)</f>
        <v>0</v>
      </c>
      <c r="H126" s="160"/>
      <c r="I126" s="160"/>
      <c r="J126" s="160"/>
      <c r="L126" s="47"/>
    </row>
    <row r="127" spans="1:15" ht="32.25" hidden="1" customHeight="1" outlineLevel="2">
      <c r="A127" s="157">
        <f t="shared" ref="A127:A133" si="10">IF(VLOOKUP("гвс",АО,3,FALSE)&gt;0,VLOOKUP(O127,АО,2,FALSE),0)</f>
        <v>0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57">
        <f t="shared" si="10"/>
        <v>0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57">
        <f t="shared" si="10"/>
        <v>0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57">
        <f t="shared" si="10"/>
        <v>0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57">
        <f t="shared" si="10"/>
        <v>0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57">
        <f t="shared" si="10"/>
        <v>0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57">
        <f t="shared" si="10"/>
        <v>0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60"/>
      <c r="I134" s="160"/>
      <c r="J134" s="160"/>
      <c r="L134" s="47"/>
    </row>
    <row r="135" spans="1:15" ht="32.25" hidden="1" customHeight="1" outlineLevel="2">
      <c r="A135" s="157">
        <f t="shared" ref="A135:A141" si="12">IF(VLOOKUP("отопление",АО,3,FALSE)&gt;0,VLOOKUP(O135,АО,2,FALSE),0)</f>
        <v>0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57">
        <f t="shared" si="12"/>
        <v>0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57">
        <f t="shared" si="12"/>
        <v>0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57">
        <f t="shared" si="12"/>
        <v>0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57">
        <f t="shared" si="12"/>
        <v>0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57">
        <f t="shared" si="12"/>
        <v>0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57">
        <f t="shared" si="12"/>
        <v>0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57" t="s">
        <v>45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0</v>
      </c>
      <c r="O144" t="s">
        <v>171</v>
      </c>
    </row>
    <row r="145" spans="1:15" ht="18.75" customHeight="1" outlineLevel="1">
      <c r="A145" s="157" t="s">
        <v>46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57" t="s">
        <v>174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23456.78</v>
      </c>
      <c r="O146" t="s">
        <v>173</v>
      </c>
    </row>
    <row r="149" spans="1:15" ht="52.5" customHeight="1">
      <c r="A149" s="153" t="s">
        <v>179</v>
      </c>
      <c r="B149" s="153"/>
      <c r="C149" s="153"/>
      <c r="D149" s="153"/>
      <c r="E149" s="153"/>
      <c r="F149" s="153"/>
      <c r="G149" s="153"/>
      <c r="H149" s="153"/>
      <c r="I149" s="153"/>
      <c r="J149" s="153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52" t="s">
        <v>192</v>
      </c>
      <c r="B154" s="152"/>
      <c r="C154" s="152"/>
      <c r="D154" s="152"/>
      <c r="E154" s="27">
        <f>ПТО!G1</f>
        <v>-11747.99</v>
      </c>
    </row>
    <row r="155" spans="1:15" ht="34.5" customHeight="1">
      <c r="A155" s="154" t="s">
        <v>191</v>
      </c>
      <c r="B155" s="154"/>
      <c r="C155" s="154"/>
      <c r="D155" s="154"/>
      <c r="E155" s="28">
        <f>J13</f>
        <v>134438.40000000002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Техническое обслуживание охранной сигнализации.</v>
      </c>
      <c r="B159" s="149"/>
      <c r="C159" s="149"/>
      <c r="D159" s="149"/>
      <c r="E159" s="149"/>
      <c r="F159" s="150">
        <f t="shared" si="15"/>
        <v>21000</v>
      </c>
      <c r="G159" s="150"/>
      <c r="H159" s="24" t="str">
        <f t="shared" si="16"/>
        <v>ежемесячно</v>
      </c>
      <c r="I159" s="151">
        <f t="shared" si="17"/>
        <v>12</v>
      </c>
      <c r="J159" s="151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49" t="str">
        <f t="shared" si="14"/>
        <v>Механизированная уборка и вывоз снега с придомовой территории.</v>
      </c>
      <c r="B160" s="149"/>
      <c r="C160" s="149"/>
      <c r="D160" s="149"/>
      <c r="E160" s="149"/>
      <c r="F160" s="150">
        <f t="shared" si="15"/>
        <v>23167</v>
      </c>
      <c r="G160" s="150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49" t="str">
        <f>IF(N161&gt;0,N161,0)</f>
        <v>Восстановление питания лифта.</v>
      </c>
      <c r="B161" s="149"/>
      <c r="C161" s="149"/>
      <c r="D161" s="149"/>
      <c r="E161" s="149"/>
      <c r="F161" s="150">
        <f t="shared" si="15"/>
        <v>923</v>
      </c>
      <c r="G161" s="150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Восстановление питания лифта.</v>
      </c>
    </row>
    <row r="162" spans="1:14" ht="28.5" customHeight="1">
      <c r="A162" s="149" t="str">
        <f t="shared" si="14"/>
        <v>Приобретение и замена шаровый кран (Ду 65), предохранительный и обратный  клапана (Ду 15 и 25).</v>
      </c>
      <c r="B162" s="149"/>
      <c r="C162" s="149"/>
      <c r="D162" s="149"/>
      <c r="E162" s="149"/>
      <c r="F162" s="150">
        <f t="shared" si="15"/>
        <v>4051</v>
      </c>
      <c r="G162" s="150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Приобретение и замена шаровый кран (Ду 65), предохранительный и обратный  клапана (Ду 15 и 25).</v>
      </c>
    </row>
    <row r="163" spans="1:14" ht="28.5" hidden="1" customHeight="1">
      <c r="A163" s="149">
        <f t="shared" si="14"/>
        <v>0</v>
      </c>
      <c r="B163" s="149"/>
      <c r="C163" s="149"/>
      <c r="D163" s="149"/>
      <c r="E163" s="149"/>
      <c r="F163" s="150">
        <f t="shared" si="15"/>
        <v>0</v>
      </c>
      <c r="G163" s="150"/>
      <c r="H163" s="24" t="e">
        <f t="shared" si="16"/>
        <v>#N/A</v>
      </c>
      <c r="I163" s="151" t="e">
        <f>VLOOKUP(A163,$A$28:$J$72,9,FALSE)</f>
        <v>#N/A</v>
      </c>
      <c r="J163" s="151"/>
      <c r="M163" s="22" t="s">
        <v>72</v>
      </c>
      <c r="N163" s="1">
        <v>0</v>
      </c>
    </row>
    <row r="164" spans="1:14" ht="28.5" hidden="1" customHeight="1">
      <c r="A164" s="149">
        <f t="shared" ref="A164:A187" si="18">IF(N164&gt;0,N164,0)</f>
        <v>0</v>
      </c>
      <c r="B164" s="149"/>
      <c r="C164" s="149"/>
      <c r="D164" s="149"/>
      <c r="E164" s="149"/>
      <c r="F164" s="150">
        <f t="shared" ref="F164:F187" si="19">IF(ISERROR(VLOOKUP(A164,$A$28:$J$72,6,FALSE)),0,VLOOKUP(A164,$A$28:$J$72,6,FALSE))</f>
        <v>0</v>
      </c>
      <c r="G164" s="150"/>
      <c r="H164" s="29" t="e">
        <f t="shared" si="16"/>
        <v>#N/A</v>
      </c>
      <c r="I164" s="151" t="e">
        <f t="shared" ref="I164:I187" si="20">VLOOKUP(A164,$A$28:$J$72,9,FALSE)</f>
        <v>#N/A</v>
      </c>
      <c r="J164" s="151"/>
      <c r="M164" s="22" t="s">
        <v>72</v>
      </c>
      <c r="N164" s="1">
        <v>0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0">
        <f t="shared" si="19"/>
        <v>0</v>
      </c>
      <c r="G165" s="150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0">
        <f t="shared" si="19"/>
        <v>0</v>
      </c>
      <c r="G166" s="150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0">
        <f t="shared" si="19"/>
        <v>0</v>
      </c>
      <c r="G167" s="150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0">
        <f t="shared" si="19"/>
        <v>0</v>
      </c>
      <c r="G168" s="150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0">
        <f t="shared" si="19"/>
        <v>0</v>
      </c>
      <c r="G169" s="150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0">
        <f t="shared" si="19"/>
        <v>0</v>
      </c>
      <c r="G170" s="150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0">
        <f t="shared" si="19"/>
        <v>0</v>
      </c>
      <c r="G171" s="150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0">
        <f t="shared" si="19"/>
        <v>0</v>
      </c>
      <c r="G172" s="150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0">
        <f t="shared" si="19"/>
        <v>0</v>
      </c>
      <c r="G173" s="150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0">
        <f t="shared" si="19"/>
        <v>0</v>
      </c>
      <c r="G174" s="150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0">
        <f t="shared" si="19"/>
        <v>0</v>
      </c>
      <c r="G175" s="150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0">
        <f t="shared" si="19"/>
        <v>0</v>
      </c>
      <c r="G176" s="150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0">
        <f t="shared" si="19"/>
        <v>0</v>
      </c>
      <c r="G177" s="150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0">
        <f t="shared" si="19"/>
        <v>0</v>
      </c>
      <c r="G178" s="150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0">
        <f t="shared" si="19"/>
        <v>0</v>
      </c>
      <c r="G179" s="150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0">
        <f t="shared" si="19"/>
        <v>0</v>
      </c>
      <c r="G180" s="150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0">
        <f t="shared" si="19"/>
        <v>0</v>
      </c>
      <c r="G181" s="150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0">
        <f t="shared" si="19"/>
        <v>0</v>
      </c>
      <c r="G182" s="150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0">
        <f t="shared" si="19"/>
        <v>0</v>
      </c>
      <c r="G183" s="150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0">
        <f t="shared" si="19"/>
        <v>0</v>
      </c>
      <c r="G184" s="150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0">
        <f t="shared" si="19"/>
        <v>0</v>
      </c>
      <c r="G185" s="150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0">
        <f t="shared" si="19"/>
        <v>0</v>
      </c>
      <c r="G186" s="150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0">
        <f t="shared" si="19"/>
        <v>0</v>
      </c>
      <c r="G187" s="150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52" t="s">
        <v>190</v>
      </c>
      <c r="B190" s="152"/>
      <c r="C190" s="152"/>
      <c r="D190" s="152"/>
      <c r="E190" s="27">
        <f>SUM(F158:G187)</f>
        <v>57241</v>
      </c>
    </row>
    <row r="191" spans="1:14" ht="51.75" customHeight="1">
      <c r="A191" s="152" t="s">
        <v>189</v>
      </c>
      <c r="B191" s="152"/>
      <c r="C191" s="152"/>
      <c r="D191" s="152"/>
      <c r="E191" s="27">
        <f>E190+E154-E155</f>
        <v>-88945.390000000014</v>
      </c>
    </row>
    <row r="192" spans="1:14">
      <c r="A192" s="104" t="s">
        <v>175</v>
      </c>
    </row>
    <row r="193" spans="1:10" ht="62.25" customHeight="1">
      <c r="A193" s="177" t="s">
        <v>188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49">
        <f>ПТО!G12</f>
        <v>1200</v>
      </c>
      <c r="I194" s="50" t="s">
        <v>75</v>
      </c>
    </row>
    <row r="195" spans="1:10" ht="18.75" customHeight="1">
      <c r="A195" s="176" t="str">
        <f>ПТО!F13</f>
        <v xml:space="preserve">  -  техническое освидетельствование лифта</v>
      </c>
      <c r="B195" s="176"/>
      <c r="C195" s="176"/>
      <c r="D195" s="176"/>
      <c r="E195" s="176"/>
      <c r="F195" s="176"/>
      <c r="G195" s="176"/>
      <c r="H195" s="49">
        <f>ПТО!G13</f>
        <v>8100</v>
      </c>
      <c r="I195" s="50" t="s">
        <v>75</v>
      </c>
    </row>
    <row r="196" spans="1:10" ht="18.75" customHeight="1">
      <c r="A196" s="176" t="str">
        <f>ПТО!F14</f>
        <v xml:space="preserve">  -  техническое обслуживание охранной сигнализации</v>
      </c>
      <c r="B196" s="176"/>
      <c r="C196" s="176"/>
      <c r="D196" s="176"/>
      <c r="E196" s="176"/>
      <c r="F196" s="176"/>
      <c r="G196" s="176"/>
      <c r="H196" s="49">
        <f>ПТО!G14</f>
        <v>21000</v>
      </c>
      <c r="I196" s="50" t="s">
        <v>75</v>
      </c>
    </row>
    <row r="197" spans="1:10" ht="18.75" customHeight="1">
      <c r="A197" s="176" t="str">
        <f>ПТО!F15</f>
        <v xml:space="preserve">  -  механизированная уборка и вывоз снега с придомовой территории</v>
      </c>
      <c r="B197" s="176"/>
      <c r="C197" s="176"/>
      <c r="D197" s="176"/>
      <c r="E197" s="176"/>
      <c r="F197" s="176"/>
      <c r="G197" s="176"/>
      <c r="H197" s="49">
        <f>ПТО!G15</f>
        <v>20000</v>
      </c>
      <c r="I197" s="50" t="s">
        <v>75</v>
      </c>
    </row>
    <row r="198" spans="1:10" ht="36" customHeight="1">
      <c r="A198" s="176" t="str">
        <f>ПТО!F16</f>
        <v xml:space="preserve">  -  изготовление и монтаж козырька над подъездом</v>
      </c>
      <c r="B198" s="176"/>
      <c r="C198" s="176"/>
      <c r="D198" s="176"/>
      <c r="E198" s="176"/>
      <c r="F198" s="176"/>
      <c r="G198" s="176"/>
      <c r="H198" s="49">
        <f>ПТО!G16</f>
        <v>53000</v>
      </c>
      <c r="I198" s="52" t="s">
        <v>75</v>
      </c>
    </row>
    <row r="199" spans="1:10" ht="18.75" customHeight="1">
      <c r="A199" s="176" t="str">
        <f>ПТО!F17</f>
        <v xml:space="preserve">  -  проведение ремонта асфальтного покрытия на придомовой территории</v>
      </c>
      <c r="B199" s="176"/>
      <c r="C199" s="176"/>
      <c r="D199" s="176"/>
      <c r="E199" s="176"/>
      <c r="F199" s="176"/>
      <c r="G199" s="176"/>
      <c r="H199" s="49">
        <f>ПТО!G17</f>
        <v>47000</v>
      </c>
      <c r="I199" s="50" t="s">
        <v>75</v>
      </c>
    </row>
    <row r="200" spans="1:10" hidden="1">
      <c r="A200" s="176">
        <f>ПТО!F18</f>
        <v>0</v>
      </c>
      <c r="B200" s="176"/>
      <c r="C200" s="176"/>
      <c r="D200" s="176"/>
      <c r="E200" s="176"/>
      <c r="F200" s="176"/>
      <c r="G200" s="176"/>
      <c r="H200" s="49">
        <f>ПТО!G18</f>
        <v>0</v>
      </c>
      <c r="I200" s="50" t="s">
        <v>75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49">
        <f>ПТО!G19</f>
        <v>0</v>
      </c>
      <c r="I201" s="50" t="s">
        <v>75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49">
        <f>ПТО!G20</f>
        <v>0</v>
      </c>
      <c r="I202" s="50" t="s">
        <v>75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49">
        <f>ПТО!G21</f>
        <v>0</v>
      </c>
      <c r="I203" s="50" t="s">
        <v>75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49">
        <f>ПТО!G22</f>
        <v>0</v>
      </c>
      <c r="I204" s="50" t="s">
        <v>75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49">
        <f>ПТО!G23</f>
        <v>0</v>
      </c>
      <c r="I205" s="50" t="s">
        <v>75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49">
        <f>ПТО!G24</f>
        <v>0</v>
      </c>
      <c r="I206" s="50" t="s">
        <v>75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49">
        <f>ПТО!G25</f>
        <v>0</v>
      </c>
      <c r="I207" s="50" t="s">
        <v>75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49">
        <f>ПТО!G26</f>
        <v>0</v>
      </c>
      <c r="I208" s="50" t="s">
        <v>75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49">
        <f>ПТО!G27</f>
        <v>0</v>
      </c>
      <c r="I209" s="50" t="s">
        <v>75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49">
        <f>ПТО!G28</f>
        <v>0</v>
      </c>
      <c r="I210" s="50" t="s">
        <v>75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49">
        <f>ПТО!G29</f>
        <v>0</v>
      </c>
      <c r="I211" s="50" t="s">
        <v>75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49">
        <f>ПТО!G30</f>
        <v>0</v>
      </c>
      <c r="I212" s="50" t="s">
        <v>75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150300</v>
      </c>
      <c r="I214" s="56" t="s">
        <v>78</v>
      </c>
    </row>
  </sheetData>
  <sheetProtection algorithmName="SHA-512" hashValue="zA6lW6y0LI9tFft5o3Q4FJQsdO3XNK+6pMoRs6OsuXqLNCBo8UNwloLN+dAqupvyYIW/yRf7IOGDId+0X4W30w==" saltValue="74kOo7Zns8na8JQXy+qf9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0" sqref="D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-11747.99</f>
        <v>-11747.99</v>
      </c>
    </row>
    <row r="2" spans="1:12" ht="18.75" customHeight="1">
      <c r="A2" s="139" t="s">
        <v>73</v>
      </c>
      <c r="B2" s="140" t="s">
        <v>181</v>
      </c>
      <c r="C2" s="140">
        <v>1</v>
      </c>
      <c r="D2" s="141">
        <v>8100</v>
      </c>
      <c r="E2" s="132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9" t="s">
        <v>180</v>
      </c>
      <c r="B3" s="140" t="s">
        <v>182</v>
      </c>
      <c r="C3" s="142">
        <v>12</v>
      </c>
      <c r="D3" s="143">
        <f>1750*12</f>
        <v>21000</v>
      </c>
      <c r="E3" s="132" t="s">
        <v>199</v>
      </c>
      <c r="F3" s="30"/>
      <c r="G3" s="30"/>
      <c r="L3" s="33" t="str">
        <f t="shared" si="0"/>
        <v>ТР</v>
      </c>
    </row>
    <row r="4" spans="1:12" ht="18.75" customHeight="1">
      <c r="A4" s="130" t="s">
        <v>186</v>
      </c>
      <c r="B4" s="131" t="s">
        <v>185</v>
      </c>
      <c r="C4" s="127">
        <v>1</v>
      </c>
      <c r="D4" s="135">
        <v>23167</v>
      </c>
      <c r="E4" s="136" t="s">
        <v>194</v>
      </c>
      <c r="F4" s="30"/>
      <c r="G4" s="30"/>
      <c r="L4" s="33" t="str">
        <f t="shared" si="0"/>
        <v>ТР</v>
      </c>
    </row>
    <row r="5" spans="1:12" ht="18.75" customHeight="1">
      <c r="A5" s="137" t="s">
        <v>193</v>
      </c>
      <c r="B5" s="122" t="s">
        <v>185</v>
      </c>
      <c r="C5" s="122">
        <v>1</v>
      </c>
      <c r="D5" s="123">
        <v>923</v>
      </c>
      <c r="E5" s="124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195</v>
      </c>
      <c r="B6" s="122" t="s">
        <v>185</v>
      </c>
      <c r="C6" s="122">
        <v>1</v>
      </c>
      <c r="D6" s="123">
        <v>4051</v>
      </c>
      <c r="E6" s="124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44"/>
      <c r="B7" s="122"/>
      <c r="C7" s="122"/>
      <c r="D7" s="123"/>
      <c r="E7" s="124"/>
      <c r="F7" s="45"/>
      <c r="G7" s="45"/>
      <c r="K7" s="46"/>
      <c r="L7" s="33">
        <f t="shared" si="0"/>
        <v>0</v>
      </c>
    </row>
    <row r="8" spans="1:12" ht="18.75" customHeight="1">
      <c r="A8" s="145"/>
      <c r="B8" s="146"/>
      <c r="C8" s="147"/>
      <c r="D8" s="148"/>
      <c r="E8" s="124"/>
      <c r="F8" s="45"/>
      <c r="G8" s="45"/>
      <c r="K8" s="43"/>
      <c r="L8" s="33">
        <f t="shared" si="0"/>
        <v>0</v>
      </c>
    </row>
    <row r="9" spans="1:12">
      <c r="A9" s="130"/>
      <c r="B9" s="131"/>
      <c r="C9" s="127"/>
      <c r="D9" s="128"/>
      <c r="E9" s="129"/>
      <c r="F9" s="44"/>
      <c r="G9" s="44"/>
      <c r="K9" s="43"/>
      <c r="L9" s="33">
        <f t="shared" si="0"/>
        <v>0</v>
      </c>
    </row>
    <row r="10" spans="1:12">
      <c r="A10" s="121"/>
      <c r="B10" s="122"/>
      <c r="C10" s="122"/>
      <c r="D10" s="123"/>
      <c r="E10" s="132"/>
      <c r="L10" s="33">
        <f t="shared" si="0"/>
        <v>0</v>
      </c>
    </row>
    <row r="11" spans="1:12" ht="94.5">
      <c r="A11" s="121"/>
      <c r="B11" s="122"/>
      <c r="C11" s="122"/>
      <c r="D11" s="123"/>
      <c r="E11" s="132"/>
      <c r="F11" s="111" t="s">
        <v>188</v>
      </c>
      <c r="G11" s="111"/>
      <c r="L11" s="33">
        <f t="shared" si="0"/>
        <v>0</v>
      </c>
    </row>
    <row r="12" spans="1:12" ht="31.5">
      <c r="A12" s="121"/>
      <c r="B12" s="122"/>
      <c r="C12" s="122"/>
      <c r="D12" s="123"/>
      <c r="E12" s="124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B13" s="132"/>
      <c r="C13" s="132"/>
      <c r="D13" s="132"/>
      <c r="E13" s="132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184</v>
      </c>
      <c r="G14" s="114">
        <v>21000</v>
      </c>
      <c r="L14" s="33">
        <f t="shared" si="0"/>
        <v>0</v>
      </c>
    </row>
    <row r="15" spans="1:12" ht="31.5">
      <c r="A15" s="30"/>
      <c r="F15" s="112" t="s">
        <v>187</v>
      </c>
      <c r="G15" s="134">
        <v>20000</v>
      </c>
      <c r="L15" s="33">
        <f t="shared" si="0"/>
        <v>0</v>
      </c>
    </row>
    <row r="16" spans="1:12" ht="31.5">
      <c r="A16" s="30"/>
      <c r="F16" s="112" t="s">
        <v>200</v>
      </c>
      <c r="G16" s="134">
        <v>53000</v>
      </c>
      <c r="L16" s="33">
        <f t="shared" si="0"/>
        <v>0</v>
      </c>
    </row>
    <row r="17" spans="1:12" ht="31.5">
      <c r="A17" s="30"/>
      <c r="F17" s="112" t="s">
        <v>201</v>
      </c>
      <c r="G17" s="113">
        <v>47000</v>
      </c>
      <c r="L17" s="33">
        <f t="shared" si="0"/>
        <v>0</v>
      </c>
    </row>
    <row r="18" spans="1:12" ht="15.75">
      <c r="A18" s="30"/>
      <c r="F18" s="119"/>
      <c r="G18" s="120"/>
      <c r="L18" s="33">
        <f t="shared" si="0"/>
        <v>0</v>
      </c>
    </row>
    <row r="19" spans="1:12">
      <c r="A19" s="30"/>
      <c r="F19" s="103"/>
      <c r="G19" s="118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68115.48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68115.48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89401.56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89401.56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46605.36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46605.36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26887.68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26887.68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8738.52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8738.52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50190.36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50190.36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53999.4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53999.4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5"/>
      <c r="C47" s="126"/>
      <c r="D47" s="48"/>
      <c r="E47" s="125">
        <v>581</v>
      </c>
      <c r="F47" s="125">
        <v>305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QEDG9vP+x/lJKAWmlbymqxIMVvgnRNaz6bMkuwsjBNRHMvamQ9rd/hfaK5QOa9Gx/eEJdjUCVY0hJoRyTH6zvQ==" saltValue="KEW53lVfSIyQyZoPhxliK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0" sqref="C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1867.2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289902.39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465512.82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331074.42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F1*6*12</f>
        <v>134438.40000000002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495181.49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495181.49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495181.49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260233.71999999997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0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0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0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0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9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9"/>
      <c r="N26" s="63"/>
    </row>
    <row r="27" spans="1:15" ht="18.75" customHeight="1">
      <c r="A27" s="70" t="s">
        <v>106</v>
      </c>
      <c r="B27" s="75" t="s">
        <v>4</v>
      </c>
      <c r="C27" s="86">
        <v>126262.42</v>
      </c>
      <c r="D27" s="81" t="s">
        <v>60</v>
      </c>
      <c r="E27" s="64"/>
      <c r="F27" s="64"/>
      <c r="G27" s="64"/>
      <c r="H27" s="64"/>
      <c r="I27" s="64"/>
      <c r="J27" s="64"/>
      <c r="M27" s="179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9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9"/>
      <c r="N29" s="63"/>
    </row>
    <row r="30" spans="1:15" ht="18.75" customHeight="1">
      <c r="A30" s="70" t="s">
        <v>109</v>
      </c>
      <c r="B30" s="75" t="s">
        <v>18</v>
      </c>
      <c r="C30" s="86">
        <v>107587.95</v>
      </c>
      <c r="D30" s="81" t="s">
        <v>66</v>
      </c>
      <c r="E30" s="64"/>
      <c r="F30" s="64"/>
      <c r="G30" s="64"/>
      <c r="H30" s="64"/>
      <c r="I30" s="64"/>
      <c r="J30" s="64"/>
      <c r="M30" s="179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9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9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9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9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202543.46</v>
      </c>
      <c r="F37" s="94" t="s">
        <v>168</v>
      </c>
      <c r="G37" s="66"/>
      <c r="H37" s="66"/>
      <c r="I37" s="66"/>
      <c r="L37" s="63"/>
      <c r="M37" s="178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148929.01</v>
      </c>
      <c r="D38" s="94" t="s">
        <v>166</v>
      </c>
      <c r="E38" s="68"/>
      <c r="G38" s="67"/>
      <c r="H38" s="67"/>
      <c r="L38" s="63"/>
      <c r="M38" s="178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207470.34</v>
      </c>
      <c r="D39" s="94" t="s">
        <v>167</v>
      </c>
      <c r="E39" s="68"/>
      <c r="G39" s="67"/>
      <c r="H39" s="67"/>
      <c r="L39" s="63"/>
      <c r="M39" s="178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133"/>
      <c r="G40" s="67"/>
      <c r="H40" s="67"/>
      <c r="L40" s="63"/>
      <c r="M40" s="178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202543.46</v>
      </c>
      <c r="D41" s="80" t="s">
        <v>59</v>
      </c>
      <c r="E41" s="133"/>
      <c r="G41" s="67"/>
      <c r="H41" s="67"/>
      <c r="L41" s="63"/>
      <c r="M41" s="178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202543.46</v>
      </c>
      <c r="D42" s="80" t="s">
        <v>59</v>
      </c>
      <c r="E42" s="133"/>
      <c r="G42" s="67"/>
      <c r="H42" s="67"/>
      <c r="L42" s="63"/>
      <c r="M42" s="178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8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8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89263.25</v>
      </c>
      <c r="F45" s="94" t="s">
        <v>168</v>
      </c>
      <c r="G45" s="66"/>
      <c r="H45" s="66"/>
      <c r="L45" s="63"/>
      <c r="M45" s="178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6126.51</v>
      </c>
      <c r="D46" s="94" t="s">
        <v>169</v>
      </c>
      <c r="E46" s="68"/>
      <c r="G46" s="67"/>
      <c r="H46" s="67"/>
      <c r="L46" s="63"/>
      <c r="M46" s="178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91627.73</v>
      </c>
      <c r="D47" s="94" t="s">
        <v>167</v>
      </c>
      <c r="E47" s="68"/>
      <c r="G47" s="67"/>
      <c r="H47" s="67"/>
      <c r="L47" s="63"/>
      <c r="M47" s="178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8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89263.25</v>
      </c>
      <c r="D49" s="80" t="s">
        <v>59</v>
      </c>
      <c r="E49" s="68"/>
      <c r="G49" s="67"/>
      <c r="H49" s="67"/>
      <c r="L49" s="63"/>
      <c r="M49" s="178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89263.25</v>
      </c>
      <c r="D50" s="80" t="s">
        <v>59</v>
      </c>
      <c r="E50" s="68"/>
      <c r="G50" s="67"/>
      <c r="H50" s="67"/>
      <c r="L50" s="63"/>
      <c r="M50" s="178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8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8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108538.51</v>
      </c>
      <c r="F53" s="94" t="s">
        <v>168</v>
      </c>
      <c r="G53" s="66"/>
      <c r="H53" s="66"/>
      <c r="L53" s="63"/>
      <c r="M53" s="178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6128.66</v>
      </c>
      <c r="D54" s="94" t="s">
        <v>169</v>
      </c>
      <c r="E54" s="69"/>
      <c r="F54" s="89"/>
      <c r="G54" s="64"/>
      <c r="H54" s="64"/>
      <c r="L54" s="63"/>
      <c r="M54" s="178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116862.23</v>
      </c>
      <c r="D55" s="94" t="s">
        <v>167</v>
      </c>
      <c r="E55" s="69"/>
      <c r="G55" s="64"/>
      <c r="H55" s="64"/>
      <c r="L55" s="63"/>
      <c r="M55" s="178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8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108538.51</v>
      </c>
      <c r="D57" s="80" t="s">
        <v>59</v>
      </c>
      <c r="E57" s="69"/>
      <c r="G57" s="64"/>
      <c r="H57" s="64"/>
      <c r="L57" s="63"/>
      <c r="M57" s="178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108538.51</v>
      </c>
      <c r="D58" s="80" t="s">
        <v>59</v>
      </c>
      <c r="E58" s="69"/>
      <c r="G58" s="64"/>
      <c r="H58" s="64"/>
      <c r="L58" s="63"/>
      <c r="M58" s="178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8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8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81532.320000000007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150.87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84591.71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81532.320000000007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81532.320000000007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8" sqref="D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23456.78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2024-03-28T05:22:08Z</dcterms:modified>
</cp:coreProperties>
</file>