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8" i="2" l="1"/>
  <c r="D6" i="2" l="1"/>
  <c r="G1" i="2" l="1"/>
  <c r="B42" i="2" l="1"/>
  <c r="B44" i="2"/>
  <c r="B39" i="2"/>
  <c r="B45" i="2"/>
  <c r="B41" i="2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4" i="1"/>
  <c r="G102" i="1"/>
  <c r="J101" i="1"/>
  <c r="J96" i="1"/>
  <c r="J95" i="1"/>
  <c r="A99" i="1"/>
  <c r="A96" i="1"/>
  <c r="G94" i="1"/>
  <c r="F94" i="1"/>
  <c r="K94" i="1"/>
  <c r="A108" i="1" l="1"/>
  <c r="A114" i="1"/>
  <c r="A105" i="1"/>
  <c r="D102" i="1"/>
  <c r="A109" i="1"/>
  <c r="F102" i="1"/>
  <c r="A94" i="1"/>
  <c r="A97" i="1"/>
  <c r="D94" i="1"/>
  <c r="A98" i="1"/>
  <c r="A100" i="1"/>
  <c r="A95" i="1"/>
  <c r="A119" i="1"/>
  <c r="A123" i="1"/>
  <c r="A118" i="1"/>
  <c r="A106" i="1"/>
  <c r="A102" i="1"/>
  <c r="A103" i="1"/>
  <c r="D118" i="1"/>
  <c r="A120" i="1"/>
  <c r="A124" i="1"/>
  <c r="F118" i="1"/>
  <c r="A121" i="1"/>
  <c r="A125" i="1"/>
  <c r="A140" i="1"/>
  <c r="D134" i="1"/>
  <c r="A136" i="1"/>
  <c r="A110" i="1"/>
  <c r="A111" i="1"/>
  <c r="A115" i="1"/>
  <c r="F134" i="1"/>
  <c r="A137" i="1"/>
  <c r="A141" i="1"/>
  <c r="D110" i="1"/>
  <c r="A112" i="1"/>
  <c r="A116" i="1"/>
  <c r="A138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0" i="1" l="1"/>
  <c r="H177" i="1"/>
  <c r="F178" i="1"/>
  <c r="H172" i="1"/>
  <c r="F181" i="1"/>
  <c r="F187" i="1"/>
  <c r="F175" i="1"/>
  <c r="F177" i="1"/>
  <c r="F167" i="1"/>
  <c r="H176" i="1"/>
  <c r="F179" i="1"/>
  <c r="F165" i="1"/>
  <c r="F186" i="1"/>
  <c r="H164" i="1"/>
  <c r="F173" i="1"/>
  <c r="H167" i="1"/>
  <c r="F172" i="1"/>
  <c r="H168" i="1"/>
  <c r="H184" i="1"/>
  <c r="H178" i="1"/>
  <c r="H165" i="1"/>
  <c r="H171" i="1"/>
  <c r="H186" i="1"/>
  <c r="H179" i="1"/>
  <c r="F170" i="1"/>
  <c r="F171" i="1"/>
  <c r="F168" i="1"/>
  <c r="F176" i="1"/>
  <c r="H173" i="1"/>
  <c r="F180" i="1"/>
  <c r="H166" i="1"/>
  <c r="F184" i="1"/>
  <c r="F185" i="1"/>
  <c r="F182" i="1"/>
  <c r="H169" i="1"/>
  <c r="F169" i="1"/>
  <c r="H185" i="1"/>
  <c r="H181" i="1"/>
  <c r="F166" i="1"/>
  <c r="F164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<sst xmlns="http://schemas.openxmlformats.org/spreadsheetml/2006/main" count="561" uniqueCount="207">
  <si>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</si>
  <si>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</si>
  <si>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</si>
  <si>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</si>
  <si>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</si>
  <si>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</si>
  <si>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</si>
  <si>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</si>
  <si>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</si>
  <si>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</si>
  <si>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</si>
  <si>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</si>
  <si>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</si>
  <si>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</si>
  <si>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</si>
  <si>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</si>
  <si>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</si>
  <si>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</si>
  <si>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</si>
  <si>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</si>
  <si>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</si>
  <si>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</si>
  <si>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</si>
  <si>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</si>
  <si>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</si>
  <si>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</si>
  <si>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</si>
  <si>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</si>
  <si>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</si>
  <si>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</si>
  <si>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</si>
  <si>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</si>
  <si>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</si>
  <si>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</si>
  <si>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</si>
  <si>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</si>
  <si>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</si>
  <si>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</si>
  <si>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</si>
  <si>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</si>
  <si>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</si>
  <si>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</si>
  <si>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</si>
  <si>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</si>
  <si>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</si>
  <si>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</si>
  <si>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</si>
  <si>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</si>
  <si>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</si>
  <si>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</si>
  <si>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</si>
  <si>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</si>
  <si>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</si>
  <si>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</si>
  <si>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</si>
  <si>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</si>
  <si>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</si>
  <si>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</si>
  <si>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</si>
  <si>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</si>
  <si>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</si>
  <si>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</si>
  <si>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</si>
  <si>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</si>
  <si>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</si>
  <si>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</si>
  <si>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</si>
  <si>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</si>
  <si>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</si>
  <si>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</si>
  <si>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</si>
  <si>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</si>
  <si>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</si>
  <si>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</si>
  <si>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</si>
  <si>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</si>
  <si>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</si>
  <si>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</si>
  <si>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</si>
  <si>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</si>
  <si>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</si>
  <si>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</si>
  <si>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</si>
  <si>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</si>
  <si>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</si>
  <si>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</si>
  <si>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</si>
  <si>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</si>
  <si>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</si>
  <si>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</si>
  <si>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</si>
  <si>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</si>
  <si>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</si>
  <si>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</si>
  <si>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</si>
  <si>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</si>
  <si>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</si>
  <si>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</si>
  <si>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</si>
  <si>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</si>
  <si>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</si>
  <si>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</si>
  <si>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</si>
  <si>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</si>
  <si>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</si>
  <si>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</si>
  <si>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</si>
  <si>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</si>
  <si>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</si>
  <si>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</si>
  <si>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</si>
  <si>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</si>
  <si>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</si>
  <si>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</si>
  <si>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</si>
  <si>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</si>
  <si>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</si>
  <si>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</si>
  <si>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</si>
  <si>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</si>
  <si>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</si>
  <si>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</si>
  <si>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</si>
  <si>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</si>
  <si>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</si>
  <si>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</si>
  <si>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</si>
  <si>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</si>
  <si>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</si>
  <si>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</si>
  <si>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</si>
  <si>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</si>
  <si>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</si>
  <si>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</si>
  <si>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</si>
  <si>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</si>
  <si>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</si>
  <si>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</si>
  <si>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</si>
  <si>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</si>
  <si>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</si>
  <si>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</si>
  <si>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</si>
  <si>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</si>
  <si>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</si>
  <si>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</si>
  <si>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</si>
  <si>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</si>
  <si>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</si>
  <si>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</si>
  <si>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</si>
  <si>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</si>
  <si>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</si>
  <si>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</si>
  <si>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</si>
  <si>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</si>
  <si>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</si>
  <si>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</si>
  <si>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</si>
  <si>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</si>
  <si>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</si>
  <si>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</si>
  <si>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</si>
  <si>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</si>
  <si>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</si>
  <si>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</si>
  <si>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</si>
  <si>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</si>
  <si>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</si>
  <si>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</si>
  <si>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</si>
  <si>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</si>
  <si>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</si>
  <si>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</si>
  <si>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Касьянова, 24</t>
  </si>
  <si>
    <t>разово</t>
  </si>
  <si>
    <t>площадь дома</t>
  </si>
  <si>
    <t>Отчет об исполнении договора управления многоквартирного дома 
Касьянова, 24 в части текущего ремонта</t>
  </si>
  <si>
    <t xml:space="preserve">  - благоустройство придомовой территории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</si>
  <si>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</si>
  <si>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</si>
  <si>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</si>
  <si>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</si>
  <si>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</si>
  <si>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</si>
  <si>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</si>
  <si>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 отмостки</t>
  </si>
  <si>
    <t>Механизированная уборка и вывоз снега с придомовой территории.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</si>
  <si>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</si>
  <si>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</si>
  <si>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</si>
  <si>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</si>
  <si>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</si>
  <si>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Ремонт шлагбаума (замена кабеля фотоэлементов).</t>
  </si>
  <si>
    <t>АВР 1/23 от 21.03.2023, Решение</t>
  </si>
  <si>
    <t>АВР 2/23 от 06.04.2023, Решение, счет №3029156 от 29.03.2023</t>
  </si>
  <si>
    <t>Приобретение и замена шаровых кранов (Ду 25, 50, 80) и манометров (9 шт.).</t>
  </si>
  <si>
    <t>Ремонт шлагбаума (октябрь).</t>
  </si>
  <si>
    <t>АВР 6/23 от 17.10.2023, Решение</t>
  </si>
  <si>
    <t>АВР 3/23 от 31.01.2023, Решение, счет №26 от 31.01.2023</t>
  </si>
  <si>
    <t>АВР 4/23 от 16.06.2023, Решение, счет №16/06-23 от 19.06.2023</t>
  </si>
  <si>
    <t>АВР 5/23 от 05.07.2023, Решение, счет №5080 от 05.07.2023</t>
  </si>
  <si>
    <t>Приобретение и установка GSM-модуля, sim-карты (годовая оплата) к шлагбауму.</t>
  </si>
  <si>
    <t>АВР 7/23 от 29.06.2023, Решение, счет №560 от 29.09.2023</t>
  </si>
  <si>
    <t>Приобретение и монтаж оборудования системы домофон.</t>
  </si>
  <si>
    <t>Ремонт кровли террасы.</t>
  </si>
  <si>
    <t xml:space="preserve">  -  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</si>
</sst>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84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0" fillId="0" borderId="0" xfId="0" applyFill="1" applyBorder="1" applyAlignment="1">
      <alignment horizontal="center"/>
    </xf>
    <xf numFmtId="4" fontId="0" fillId="0" borderId="0" xfId="0" applyNumberFormat="1" applyFill="1"/>
    <xf numFmtId="4" fontId="0" fillId="0" borderId="0" xfId="0" applyNumberFormat="1" applyBorder="1" applyAlignment="1">
      <alignment horizontal="center"/>
    </xf>
    <xf numFmtId="4" fontId="34" fillId="3" borderId="0" xfId="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5" fillId="0" borderId="0" xfId="6" applyFont="1"/>
    <xf numFmtId="4" fontId="25" fillId="0" borderId="0" xfId="6" applyNumberFormat="1" applyFont="1"/>
    <xf numFmtId="4" fontId="18" fillId="0" borderId="0" xfId="5" applyNumberFormat="1" applyFill="1" applyBorder="1" applyAlignment="1"/>
    <xf numFmtId="0" fontId="16" fillId="0" borderId="0" xfId="7" applyNumberFormat="1" applyFill="1" applyBorder="1" applyAlignment="1">
      <alignment horizontal="center"/>
    </xf>
    <xf numFmtId="4" fontId="16" fillId="0" borderId="0" xfId="7" applyNumberForma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 applyBorder="1"/>
    <xf numFmtId="4" fontId="0" fillId="0" borderId="0" xfId="0" applyNumberFormat="1" applyFill="1" applyBorder="1"/>
    <xf numFmtId="0" fontId="13" fillId="0" borderId="0" xfId="2" applyFont="1" applyFill="1" applyBorder="1" applyAlignment="1"/>
    <xf numFmtId="0" fontId="10" fillId="0" borderId="0" xfId="7" applyFont="1" applyFill="1" applyBorder="1" applyAlignment="1"/>
    <xf numFmtId="4" fontId="24" fillId="0" borderId="0" xfId="1" applyNumberFormat="1" applyFont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9" fillId="0" borderId="0" xfId="7" applyFont="1" applyFill="1" applyBorder="1" applyAlignment="1"/>
    <xf numFmtId="4" fontId="25" fillId="0" borderId="0" xfId="0" applyNumberFormat="1" applyFont="1"/>
    <xf numFmtId="0" fontId="14" fillId="0" borderId="0" xfId="7" applyFont="1" applyFill="1" applyBorder="1" applyAlignment="1"/>
    <xf numFmtId="0" fontId="14" fillId="0" borderId="0" xfId="7" applyFont="1" applyFill="1" applyBorder="1" applyAlignment="1">
      <alignment horizontal="center"/>
    </xf>
    <xf numFmtId="0" fontId="7" fillId="0" borderId="0" xfId="7" applyFont="1" applyFill="1" applyBorder="1" applyAlignment="1"/>
    <xf numFmtId="0" fontId="7" fillId="0" borderId="0" xfId="7" applyFont="1" applyFill="1" applyBorder="1" applyAlignment="1">
      <alignment horizontal="center"/>
    </xf>
    <xf numFmtId="0" fontId="3" fillId="0" borderId="0" xfId="7" applyFont="1" applyFill="1" applyBorder="1" applyAlignment="1"/>
    <xf numFmtId="0" fontId="8" fillId="0" borderId="0" xfId="5" applyFont="1" applyFill="1" applyBorder="1" applyAlignment="1">
      <alignment horizontal="center"/>
    </xf>
    <xf numFmtId="0" fontId="18" fillId="0" borderId="0" xfId="5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2" fillId="0" borderId="0" xfId="7" applyFont="1" applyFill="1" applyBorder="1" applyAlignment="1"/>
    <xf numFmtId="0" fontId="3" fillId="0" borderId="0" xfId="7" applyFont="1" applyFill="1" applyBorder="1" applyAlignment="1">
      <alignment horizontal="center"/>
    </xf>
    <xf numFmtId="0" fontId="2" fillId="0" borderId="0" xfId="2" applyFont="1" applyFill="1" applyBorder="1" applyAlignment="1"/>
    <xf numFmtId="0" fontId="1" fillId="0" borderId="0" xfId="5" applyFont="1" applyFill="1" applyBorder="1" applyAlignment="1"/>
    <xf numFmtId="0" fontId="24" fillId="3" borderId="1" xfId="0" applyFont="1" applyFill="1" applyBorder="1" applyAlignment="1">
      <alignment horizontal="left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4" fillId="3" borderId="1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1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4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22">
    <cellStyle name="Обычный" xfId="0" builtinId="0"/>
    <cellStyle name="Обычный 2" xfId="1"/>
    <cellStyle name="Обычный 2 2" xfId="3"/>
    <cellStyle name="Обычный 2 3" xfId="12"/>
    <cellStyle name="Обычный 2 4" xfId="17"/>
    <cellStyle name="Обычный 2 5" xfId="8"/>
    <cellStyle name="Обычный 3" xfId="2"/>
    <cellStyle name="Обычный 3 2" xfId="13"/>
    <cellStyle name="Обычный 3 3" xfId="18"/>
    <cellStyle name="Обычный 3 4" xfId="9"/>
    <cellStyle name="Обычный 4" xfId="4"/>
    <cellStyle name="Обычный 4 2" xfId="14"/>
    <cellStyle name="Обычный 4 3" xfId="19"/>
    <cellStyle name="Обычный 4 4" xfId="10"/>
    <cellStyle name="Обычный 5" xfId="5"/>
    <cellStyle name="Обычный 5 2" xfId="7"/>
    <cellStyle name="Обычный 5 2 2" xfId="15"/>
    <cellStyle name="Обычный 5 3" xfId="20"/>
    <cellStyle name="Обычный 5 4" xfId="11"/>
    <cellStyle name="Обычный 6" xfId="6"/>
    <cellStyle name="Обычный 6 2" xfId="21"/>
    <cellStyle name="Обычный 6 3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7" sqref="K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4" t="s">
        <v>174</v>
      </c>
      <c r="B2" s="174"/>
      <c r="C2" s="174"/>
      <c r="D2" s="174"/>
      <c r="E2" s="174"/>
      <c r="F2" s="174"/>
      <c r="G2" s="174"/>
      <c r="H2" s="174"/>
      <c r="I2" s="174"/>
      <c r="J2" s="17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1" t="s">
        <v>2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53973.440000000002</v>
      </c>
      <c r="K8" s="109"/>
      <c r="L8" s="175"/>
      <c r="M8" s="109"/>
      <c r="N8" s="109"/>
      <c r="O8" s="70" t="s">
        <v>81</v>
      </c>
      <c r="R8" s="16"/>
    </row>
    <row r="9" spans="1:18" ht="18.75" customHeight="1" outlineLevel="1">
      <c r="A9" s="171" t="s">
        <v>3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09"/>
      <c r="L9" s="175"/>
      <c r="M9" s="109"/>
      <c r="N9" s="109"/>
      <c r="O9" s="70" t="s">
        <v>82</v>
      </c>
    </row>
    <row r="10" spans="1:18" ht="18.75" customHeight="1" outlineLevel="1">
      <c r="A10" s="171" t="s">
        <v>4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0</v>
      </c>
      <c r="K10" s="109"/>
      <c r="L10" s="175"/>
      <c r="M10" s="109"/>
      <c r="N10" s="109"/>
      <c r="O10" s="70" t="s">
        <v>83</v>
      </c>
    </row>
    <row r="11" spans="1:18" outlineLevel="1">
      <c r="A11" s="171" t="s">
        <v>5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453838.91399999999</v>
      </c>
      <c r="K11" s="109"/>
      <c r="L11" s="175"/>
      <c r="M11" s="109"/>
      <c r="N11" s="109"/>
      <c r="O11" s="70" t="s">
        <v>84</v>
      </c>
    </row>
    <row r="12" spans="1:18" ht="18.75" customHeight="1" outlineLevel="1">
      <c r="A12" s="171" t="s">
        <v>6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242712.35</v>
      </c>
      <c r="K12" s="109"/>
      <c r="L12" s="175"/>
      <c r="M12" s="109"/>
      <c r="N12" s="109"/>
      <c r="O12" s="70" t="s">
        <v>85</v>
      </c>
    </row>
    <row r="13" spans="1:18" ht="18.75" customHeight="1" outlineLevel="1">
      <c r="A13" s="171" t="s">
        <v>7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101997.144</v>
      </c>
      <c r="K13" s="109"/>
      <c r="L13" s="175"/>
      <c r="M13" s="109"/>
      <c r="N13" s="109"/>
      <c r="O13" s="70" t="s">
        <v>86</v>
      </c>
    </row>
    <row r="14" spans="1:18" ht="18.75" customHeight="1" outlineLevel="1">
      <c r="A14" s="171" t="s">
        <v>8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109129.42</v>
      </c>
      <c r="K14" s="109"/>
      <c r="L14" s="175"/>
      <c r="M14" s="109"/>
      <c r="N14" s="109"/>
      <c r="O14" s="70" t="s">
        <v>87</v>
      </c>
    </row>
    <row r="15" spans="1:18" ht="18.75" customHeight="1" outlineLevel="1">
      <c r="A15" s="171" t="s">
        <v>9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454810.92</v>
      </c>
      <c r="K15" s="109"/>
      <c r="L15" s="175"/>
      <c r="M15" s="109"/>
      <c r="N15" s="109"/>
      <c r="O15" s="70" t="s">
        <v>88</v>
      </c>
    </row>
    <row r="16" spans="1:18" ht="18.75" customHeight="1" outlineLevel="1">
      <c r="A16" s="171" t="s">
        <v>10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454810.92</v>
      </c>
      <c r="K16" s="109"/>
      <c r="L16" s="175"/>
      <c r="M16" s="109"/>
      <c r="N16" s="109"/>
      <c r="O16" s="70" t="s">
        <v>89</v>
      </c>
    </row>
    <row r="17" spans="1:23" ht="18.75" customHeight="1" outlineLevel="1">
      <c r="A17" s="171" t="s">
        <v>11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09"/>
      <c r="L17" s="175"/>
      <c r="M17" s="109"/>
      <c r="N17" s="109"/>
      <c r="O17" s="70" t="s">
        <v>90</v>
      </c>
    </row>
    <row r="18" spans="1:23" ht="18.75" customHeight="1" outlineLevel="1">
      <c r="A18" s="171" t="s">
        <v>12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09"/>
      <c r="L18" s="175"/>
      <c r="M18" s="109"/>
      <c r="N18" s="109"/>
      <c r="O18" s="70" t="s">
        <v>91</v>
      </c>
    </row>
    <row r="19" spans="1:23" ht="18.75" customHeight="1" outlineLevel="1">
      <c r="A19" s="171" t="s">
        <v>13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09"/>
      <c r="L19" s="175"/>
      <c r="M19" s="109"/>
      <c r="N19" s="109"/>
      <c r="O19" s="70" t="s">
        <v>92</v>
      </c>
    </row>
    <row r="20" spans="1:23" ht="18.75" customHeight="1" outlineLevel="1">
      <c r="A20" s="171" t="s">
        <v>14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09"/>
      <c r="L20" s="175"/>
      <c r="M20" s="109"/>
      <c r="N20" s="109"/>
      <c r="O20" s="70" t="s">
        <v>93</v>
      </c>
    </row>
    <row r="21" spans="1:23" ht="18.75" customHeight="1" outlineLevel="1">
      <c r="A21" s="171" t="s">
        <v>15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454810.92</v>
      </c>
      <c r="K21" s="109"/>
      <c r="L21" s="175"/>
      <c r="M21" s="109"/>
      <c r="N21" s="109"/>
      <c r="O21" s="70" t="s">
        <v>94</v>
      </c>
    </row>
    <row r="22" spans="1:23" ht="18.75" customHeight="1" outlineLevel="1">
      <c r="A22" s="171" t="s">
        <v>16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54945.445999999996</v>
      </c>
      <c r="K22" s="109"/>
      <c r="L22" s="175"/>
      <c r="M22" s="109"/>
      <c r="N22" s="109"/>
      <c r="O22" s="70" t="s">
        <v>95</v>
      </c>
    </row>
    <row r="23" spans="1:23" ht="18.75" customHeight="1" outlineLevel="1">
      <c r="A23" s="171" t="s">
        <v>17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09"/>
      <c r="L23" s="175"/>
      <c r="M23" s="109"/>
      <c r="N23" s="109"/>
      <c r="O23" s="70" t="s">
        <v>96</v>
      </c>
    </row>
    <row r="24" spans="1:23" ht="18.75" customHeight="1" outlineLevel="1">
      <c r="A24" s="171" t="s">
        <v>18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0</v>
      </c>
      <c r="K24" s="109"/>
      <c r="L24" s="175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09"/>
      <c r="L27" s="17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3">
        <f>VLOOKUP(A28,ПТО!$A$39:$D$53,2,FALSE)</f>
        <v>70414.272000000012</v>
      </c>
      <c r="G28" s="153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09"/>
      <c r="L28" s="17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2">
        <f>ПТО!A40</f>
        <v>0</v>
      </c>
      <c r="B29" s="152"/>
      <c r="C29" s="152"/>
      <c r="D29" s="152"/>
      <c r="E29" s="152"/>
      <c r="F29" s="153" t="e">
        <f>VLOOKUP(A29,ПТО!$A$39:$D$53,2,FALSE)</f>
        <v>#N/A</v>
      </c>
      <c r="G29" s="153"/>
      <c r="H29" s="42" t="e">
        <f>VLOOKUP(A29,ПТО!$A$39:$D$53,3,FALSE)</f>
        <v>#N/A</v>
      </c>
      <c r="I29" s="154" t="e">
        <f>VLOOKUP(A29,ПТО!$A$39:$D$53,4,FALSE)</f>
        <v>#N/A</v>
      </c>
      <c r="J29" s="154"/>
      <c r="K29" s="109"/>
      <c r="L29" s="176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3">
        <f>VLOOKUP(A30,ПТО!$A$39:$D$53,2,FALSE)</f>
        <v>63683.496000000006</v>
      </c>
      <c r="G30" s="153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09"/>
      <c r="L30" s="17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3">
        <f>VLOOKUP(A31,ПТО!$A$39:$D$53,2,FALSE)</f>
        <v>29770.74</v>
      </c>
      <c r="G31" s="153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09"/>
      <c r="L31" s="17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09"/>
      <c r="L32" s="17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3">
        <f>VLOOKUP(A33,ПТО!$A$39:$D$53,2,FALSE)</f>
        <v>21227.832000000002</v>
      </c>
      <c r="G33" s="153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09"/>
      <c r="L33" s="17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3">
        <f>VLOOKUP(A34,ПТО!$A$39:$D$53,2,FALSE)</f>
        <v>56434.968000000015</v>
      </c>
      <c r="G34" s="153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09"/>
      <c r="L34" s="17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2">
        <f>ПТО!A46</f>
        <v>0</v>
      </c>
      <c r="B35" s="152"/>
      <c r="C35" s="152"/>
      <c r="D35" s="152"/>
      <c r="E35" s="152"/>
      <c r="F35" s="153" t="e">
        <f>VLOOKUP(A35,ПТО!$A$39:$D$53,2,FALSE)</f>
        <v>#N/A</v>
      </c>
      <c r="G35" s="153"/>
      <c r="H35" s="42" t="e">
        <f>VLOOKUP(A35,ПТО!$A$39:$D$53,3,FALSE)</f>
        <v>#N/A</v>
      </c>
      <c r="I35" s="154" t="e">
        <f>VLOOKUP(A35,ПТО!$A$39:$D$53,4,FALSE)</f>
        <v>#N/A</v>
      </c>
      <c r="J35" s="154"/>
      <c r="K35" s="109"/>
      <c r="L35" s="176"/>
      <c r="M35" s="115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09"/>
      <c r="L36" s="176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09"/>
      <c r="L37" s="176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09"/>
      <c r="L38" s="17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09"/>
      <c r="L39" s="17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09"/>
      <c r="L40" s="17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09"/>
      <c r="L41" s="17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09"/>
      <c r="L42" s="17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Механизированная уборка и вывоз снега с придомовой территории.</v>
      </c>
      <c r="B43" s="152"/>
      <c r="C43" s="152"/>
      <c r="D43" s="152"/>
      <c r="E43" s="152"/>
      <c r="F43" s="153">
        <f>VLOOKUP(A43,ПТО!$A$2:$D$31,4,FALSE)</f>
        <v>23416</v>
      </c>
      <c r="G43" s="153"/>
      <c r="H43" s="19" t="str">
        <f>VLOOKUP(A43,ПТО!$A$2:$D$31,2,FALSE)</f>
        <v>разово</v>
      </c>
      <c r="I43" s="154">
        <f>VLOOKUP(A43,ПТО!$A$2:$D$31,3,FALSE)</f>
        <v>1</v>
      </c>
      <c r="J43" s="154"/>
      <c r="K43" s="109"/>
      <c r="L43" s="176"/>
      <c r="M43" s="115"/>
      <c r="N43" s="109"/>
      <c r="O43" s="23" t="str">
        <f t="shared" si="1"/>
        <v>Механизированная уборка и вывоз снега с придомовой территории.</v>
      </c>
      <c r="R43" s="22" t="s">
        <v>72</v>
      </c>
    </row>
    <row r="44" spans="1:18" ht="51" customHeight="1" outlineLevel="1">
      <c r="A44" s="152" t="str">
        <f>ПТО!A3</f>
        <v>Ремонт шлагбаума (замена кабеля фотоэлементов).</v>
      </c>
      <c r="B44" s="152"/>
      <c r="C44" s="152"/>
      <c r="D44" s="152"/>
      <c r="E44" s="152"/>
      <c r="F44" s="153">
        <f>VLOOKUP(A44,ПТО!$A$2:$D$31,4,FALSE)</f>
        <v>862</v>
      </c>
      <c r="G44" s="153"/>
      <c r="H44" s="25" t="str">
        <f>VLOOKUP(A44,ПТО!$A$2:$D$31,2,FALSE)</f>
        <v>разово</v>
      </c>
      <c r="I44" s="154">
        <f>VLOOKUP(A44,ПТО!$A$2:$D$31,3,FALSE)</f>
        <v>1</v>
      </c>
      <c r="J44" s="154"/>
      <c r="K44" s="109"/>
      <c r="L44" s="176"/>
      <c r="M44" s="115"/>
      <c r="N44" s="109"/>
      <c r="O44" s="23" t="str">
        <f t="shared" si="1"/>
        <v>Ремонт шлагбаума (замена кабеля фотоэлементов).</v>
      </c>
      <c r="R44" s="22" t="s">
        <v>72</v>
      </c>
    </row>
    <row r="45" spans="1:18" ht="51" customHeight="1" outlineLevel="1">
      <c r="A45" s="152" t="str">
        <f>ПТО!A4</f>
        <v>Приобретение и монтаж оборудования системы домофон.</v>
      </c>
      <c r="B45" s="152"/>
      <c r="C45" s="152"/>
      <c r="D45" s="152"/>
      <c r="E45" s="152"/>
      <c r="F45" s="153">
        <f>VLOOKUP(A45,ПТО!$A$2:$D$31,4,FALSE)</f>
        <v>17726</v>
      </c>
      <c r="G45" s="153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09"/>
      <c r="L45" s="176"/>
      <c r="M45" s="115"/>
      <c r="N45" s="109"/>
      <c r="O45" s="23" t="str">
        <f t="shared" si="1"/>
        <v>Приобретение и монтаж оборудования системы домофон.</v>
      </c>
      <c r="R45" s="22" t="s">
        <v>72</v>
      </c>
    </row>
    <row r="46" spans="1:18" ht="51" customHeight="1" outlineLevel="1">
      <c r="A46" s="152" t="str">
        <f>ПТО!A5</f>
        <v>Ремонт кровли террасы.</v>
      </c>
      <c r="B46" s="152"/>
      <c r="C46" s="152"/>
      <c r="D46" s="152"/>
      <c r="E46" s="152"/>
      <c r="F46" s="153">
        <f>VLOOKUP(A46,ПТО!$A$2:$D$31,4,FALSE)</f>
        <v>51604</v>
      </c>
      <c r="G46" s="153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09"/>
      <c r="L46" s="176"/>
      <c r="M46" s="115"/>
      <c r="N46" s="109"/>
      <c r="O46" s="23" t="str">
        <f t="shared" si="1"/>
        <v>Ремонт кровли террасы.</v>
      </c>
      <c r="R46" s="22" t="s">
        <v>72</v>
      </c>
    </row>
    <row r="47" spans="1:18" ht="51" customHeight="1" outlineLevel="1">
      <c r="A47" s="152" t="str">
        <f>ПТО!A6</f>
        <v>Приобретение и замена шаровых кранов (Ду 25, 50, 80) и манометров (9 шт.).</v>
      </c>
      <c r="B47" s="152"/>
      <c r="C47" s="152"/>
      <c r="D47" s="152"/>
      <c r="E47" s="152"/>
      <c r="F47" s="153">
        <f>VLOOKUP(A47,ПТО!$A$2:$D$31,4,FALSE)</f>
        <v>2514.98</v>
      </c>
      <c r="G47" s="153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09"/>
      <c r="L47" s="176"/>
      <c r="M47" s="115"/>
      <c r="N47" s="109"/>
      <c r="O47" s="23" t="str">
        <f t="shared" si="1"/>
        <v>Приобретение и замена шаровых кранов (Ду 25, 50, 80) и манометров (9 шт.).</v>
      </c>
      <c r="R47" s="22" t="s">
        <v>72</v>
      </c>
    </row>
    <row r="48" spans="1:18" ht="51" customHeight="1" outlineLevel="1">
      <c r="A48" s="152" t="str">
        <f>ПТО!A7</f>
        <v>Ремонт шлагбаума (октябрь).</v>
      </c>
      <c r="B48" s="152"/>
      <c r="C48" s="152"/>
      <c r="D48" s="152"/>
      <c r="E48" s="152"/>
      <c r="F48" s="153">
        <f>VLOOKUP(A48,ПТО!$A$2:$D$31,4,FALSE)</f>
        <v>475</v>
      </c>
      <c r="G48" s="153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09"/>
      <c r="L48" s="176"/>
      <c r="M48" s="115"/>
      <c r="N48" s="109"/>
      <c r="O48" s="23" t="str">
        <f t="shared" si="1"/>
        <v>Ремонт шлагбаума (октябрь).</v>
      </c>
      <c r="R48" s="22" t="s">
        <v>72</v>
      </c>
    </row>
    <row r="49" spans="1:18" ht="51" customHeight="1" outlineLevel="1">
      <c r="A49" s="152" t="str">
        <f>ПТО!A8</f>
        <v>Приобретение и установка GSM-модуля, sim-карты (годовая оплата) к шлагбауму.</v>
      </c>
      <c r="B49" s="152"/>
      <c r="C49" s="152"/>
      <c r="D49" s="152"/>
      <c r="E49" s="152"/>
      <c r="F49" s="153">
        <f>VLOOKUP(A49,ПТО!$A$2:$D$31,4,FALSE)</f>
        <v>3204</v>
      </c>
      <c r="G49" s="153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09"/>
      <c r="L49" s="176"/>
      <c r="M49" s="115"/>
      <c r="N49" s="109"/>
      <c r="O49" s="23" t="str">
        <f t="shared" si="1"/>
        <v>Приобретение и установка GSM-модуля, sim-карты (годовая оплата) к шлагбауму.</v>
      </c>
      <c r="R49" s="22" t="s">
        <v>72</v>
      </c>
    </row>
    <row r="50" spans="1:18" ht="51" hidden="1" customHeight="1" outlineLevel="1">
      <c r="A50" s="152">
        <f>ПТО!A9</f>
        <v>0</v>
      </c>
      <c r="B50" s="152"/>
      <c r="C50" s="152"/>
      <c r="D50" s="152"/>
      <c r="E50" s="152"/>
      <c r="F50" s="153" t="e">
        <f>VLOOKUP(A50,ПТО!$A$2:$D$31,4,FALSE)</f>
        <v>#N/A</v>
      </c>
      <c r="G50" s="153"/>
      <c r="H50" s="25" t="e">
        <f>VLOOKUP(A50,ПТО!$A$2:$D$31,2,FALSE)</f>
        <v>#N/A</v>
      </c>
      <c r="I50" s="154" t="e">
        <f>VLOOKUP(A50,ПТО!$A$2:$D$31,3,FALSE)</f>
        <v>#N/A</v>
      </c>
      <c r="J50" s="154"/>
      <c r="K50" s="109"/>
      <c r="L50" s="176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52">
        <f>ПТО!A10</f>
        <v>0</v>
      </c>
      <c r="B51" s="152"/>
      <c r="C51" s="152"/>
      <c r="D51" s="152"/>
      <c r="E51" s="152"/>
      <c r="F51" s="153" t="e">
        <f>VLOOKUP(A51,ПТО!$A$2:$D$31,4,FALSE)</f>
        <v>#N/A</v>
      </c>
      <c r="G51" s="153"/>
      <c r="H51" s="25" t="e">
        <f>VLOOKUP(A51,ПТО!$A$2:$D$31,2,FALSE)</f>
        <v>#N/A</v>
      </c>
      <c r="I51" s="154" t="e">
        <f>VLOOKUP(A51,ПТО!$A$2:$D$31,3,FALSE)</f>
        <v>#N/A</v>
      </c>
      <c r="J51" s="154"/>
      <c r="K51" s="109"/>
      <c r="L51" s="176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54" t="e">
        <f>VLOOKUP(A52,ПТО!$A$2:$D$31,3,FALSE)</f>
        <v>#N/A</v>
      </c>
      <c r="J52" s="154"/>
      <c r="K52" s="109"/>
      <c r="L52" s="176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09"/>
      <c r="L53" s="176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09"/>
      <c r="L54" s="176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09"/>
      <c r="L55" s="176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09"/>
      <c r="L56" s="176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09"/>
      <c r="L57" s="176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09"/>
      <c r="L58" s="176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09"/>
      <c r="L59" s="176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09"/>
      <c r="L60" s="176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09"/>
      <c r="L61" s="176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09"/>
      <c r="L62" s="176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09"/>
      <c r="L63" s="176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09"/>
      <c r="L64" s="176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09"/>
      <c r="L65" s="176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09"/>
      <c r="L66" s="17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09"/>
      <c r="L67" s="17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09"/>
      <c r="L68" s="17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09"/>
      <c r="L69" s="17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09"/>
      <c r="L70" s="17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5"/>
      <c r="L71" s="17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09"/>
      <c r="L72" s="17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09"/>
      <c r="L75" s="159"/>
      <c r="M75" s="109"/>
      <c r="N75" s="109"/>
      <c r="O75" s="70" t="s">
        <v>98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09"/>
      <c r="L76" s="159"/>
      <c r="M76" s="109"/>
      <c r="N76" s="109"/>
      <c r="O76" s="70" t="s">
        <v>99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09"/>
      <c r="L77" s="159"/>
      <c r="M77" s="109"/>
      <c r="N77" s="109"/>
      <c r="O77" s="70" t="s">
        <v>100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7">
        <f>VLOOKUP(O78,АО,3,FALSE)</f>
        <v>0</v>
      </c>
      <c r="K78" s="109"/>
      <c r="L78" s="159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0" t="s">
        <v>2</v>
      </c>
      <c r="B81" s="160"/>
      <c r="C81" s="160"/>
      <c r="D81" s="160"/>
      <c r="E81" s="160"/>
      <c r="F81" s="160"/>
      <c r="G81" s="160"/>
      <c r="H81" s="160"/>
      <c r="I81" s="160"/>
      <c r="J81" s="97">
        <f t="shared" ref="J81:J90" si="2">VLOOKUP(O81,АО,3,FALSE)</f>
        <v>0</v>
      </c>
      <c r="K81" s="109"/>
      <c r="L81" s="177"/>
      <c r="M81" s="109"/>
      <c r="N81" s="109"/>
      <c r="O81" s="70" t="s">
        <v>102</v>
      </c>
    </row>
    <row r="82" spans="1:15" outlineLevel="1">
      <c r="A82" s="160" t="s">
        <v>3</v>
      </c>
      <c r="B82" s="160"/>
      <c r="C82" s="160"/>
      <c r="D82" s="160"/>
      <c r="E82" s="160"/>
      <c r="F82" s="160"/>
      <c r="G82" s="160"/>
      <c r="H82" s="160"/>
      <c r="I82" s="160"/>
      <c r="J82" s="97">
        <f t="shared" si="2"/>
        <v>0</v>
      </c>
      <c r="K82" s="109"/>
      <c r="L82" s="177"/>
      <c r="M82" s="109"/>
      <c r="N82" s="109"/>
      <c r="O82" s="70" t="s">
        <v>103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7">
        <f t="shared" si="2"/>
        <v>29048.95</v>
      </c>
      <c r="K83" s="109"/>
      <c r="L83" s="177"/>
      <c r="M83" s="109"/>
      <c r="N83" s="109"/>
      <c r="O83" s="70" t="s">
        <v>104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7">
        <f t="shared" si="2"/>
        <v>0</v>
      </c>
      <c r="K84" s="109"/>
      <c r="L84" s="177"/>
      <c r="M84" s="109"/>
      <c r="N84" s="109"/>
      <c r="O84" s="70" t="s">
        <v>105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7">
        <f t="shared" si="2"/>
        <v>0</v>
      </c>
      <c r="K85" s="109"/>
      <c r="L85" s="177"/>
      <c r="M85" s="109"/>
      <c r="N85" s="109"/>
      <c r="O85" s="70" t="s">
        <v>106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7">
        <f t="shared" si="2"/>
        <v>23490.83</v>
      </c>
      <c r="K86" s="109"/>
      <c r="L86" s="177"/>
      <c r="M86" s="109"/>
      <c r="N86" s="109"/>
      <c r="O86" s="70" t="s">
        <v>107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77"/>
      <c r="M87" s="109"/>
      <c r="N87" s="109"/>
      <c r="O87" s="70" t="s">
        <v>108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77"/>
      <c r="M88" s="109"/>
      <c r="N88" s="109"/>
      <c r="O88" s="70" t="s">
        <v>109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77"/>
      <c r="M89" s="109"/>
      <c r="N89" s="109"/>
      <c r="O89" s="70" t="s">
        <v>110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7">
        <f t="shared" si="2"/>
        <v>0</v>
      </c>
      <c r="K90" s="109"/>
      <c r="L90" s="177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1" t="s">
        <v>48</v>
      </c>
      <c r="B93" s="161"/>
      <c r="C93" s="161"/>
      <c r="D93" s="164" t="s">
        <v>49</v>
      </c>
      <c r="E93" s="164"/>
      <c r="F93" s="10" t="s">
        <v>50</v>
      </c>
      <c r="G93" s="161" t="s">
        <v>51</v>
      </c>
      <c r="H93" s="161"/>
      <c r="I93" s="161"/>
      <c r="J93" s="161"/>
      <c r="K93" s="109"/>
      <c r="L93" s="109"/>
      <c r="M93" s="109"/>
      <c r="N93" s="109"/>
    </row>
    <row r="94" spans="1:15" hidden="1" outlineLevel="1">
      <c r="A94" s="165">
        <f>IF(VLOOKUP("эл",АО,3,FALSE)&gt;0,"Электроснабжение",0)</f>
        <v>0</v>
      </c>
      <c r="B94" s="165"/>
      <c r="C94" s="165"/>
      <c r="D94" s="163">
        <f>IF(VLOOKUP("эл",АО,3,FALSE)&gt;0,VLOOKUP("эл",АО,3,FALSE),0)</f>
        <v>0</v>
      </c>
      <c r="E94" s="163"/>
      <c r="F94" s="13">
        <f>IF(VLOOKUP("эл",АО,3,FALSE)&gt;0,VLOOKUP("эл",АО,4,FALSE),0)</f>
        <v>0</v>
      </c>
      <c r="G94" s="162">
        <f>VLOOKUP("эл",АО,5,FALSE)</f>
        <v>0</v>
      </c>
      <c r="H94" s="163"/>
      <c r="I94" s="163"/>
      <c r="J94" s="163"/>
      <c r="K94" s="1" t="str">
        <f>VLOOKUP("эл",АО,2,FALSE)</f>
        <v>Электроснабжение</v>
      </c>
      <c r="L94" s="178"/>
    </row>
    <row r="95" spans="1:15" hidden="1" outlineLevel="2">
      <c r="A95" s="166">
        <f>IF(VLOOKUP("эл",АО,3,FALSE)&gt;0,VLOOKUP("эл1",АО,2,FALSE),0)</f>
        <v>0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0</v>
      </c>
      <c r="L95" s="178"/>
      <c r="O95" s="1" t="s">
        <v>112</v>
      </c>
    </row>
    <row r="96" spans="1:15" hidden="1" outlineLevel="2">
      <c r="A96" s="166">
        <f>IF(VLOOKUP("эл",АО,3,FALSE)&gt;0,VLOOKUP("эл2",АО,2,FALSE),0)</f>
        <v>0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0</v>
      </c>
      <c r="L96" s="178"/>
      <c r="O96" s="1" t="s">
        <v>113</v>
      </c>
    </row>
    <row r="97" spans="1:15" hidden="1" outlineLevel="2">
      <c r="A97" s="166">
        <f>IF(VLOOKUP("эл",АО,3,FALSE)&gt;0,VLOOKUP("эл3",АО,2,FALSE),0)</f>
        <v>0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0</v>
      </c>
      <c r="L97" s="178"/>
      <c r="O97" s="1" t="s">
        <v>114</v>
      </c>
    </row>
    <row r="98" spans="1:15" ht="37.5" hidden="1" customHeight="1" outlineLevel="2">
      <c r="A98" s="166">
        <f>IF(VLOOKUP("эл",АО,3,FALSE)&gt;0,VLOOKUP("эл4",АО,2,FALSE),0)</f>
        <v>0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0</v>
      </c>
      <c r="L98" s="178"/>
      <c r="O98" s="1" t="s">
        <v>115</v>
      </c>
    </row>
    <row r="99" spans="1:15" hidden="1" outlineLevel="2">
      <c r="A99" s="166">
        <f>IF(VLOOKUP("эл",АО,3,FALSE)&gt;0,VLOOKUP("эл5",АО,2,FALSE),0)</f>
        <v>0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0</v>
      </c>
      <c r="L99" s="178"/>
      <c r="O99" s="1" t="s">
        <v>116</v>
      </c>
    </row>
    <row r="100" spans="1:15" ht="39" hidden="1" customHeight="1" outlineLevel="2">
      <c r="A100" s="166">
        <f>IF(VLOOKUP("эл",АО,3,FALSE)&gt;0,VLOOKUP("эл6",АО,2,FALSE),0)</f>
        <v>0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78"/>
      <c r="O100" s="1" t="s">
        <v>117</v>
      </c>
    </row>
    <row r="101" spans="1:15" ht="34.5" hidden="1" customHeight="1" outlineLevel="2">
      <c r="A101" s="166">
        <f>IF(VLOOKUP("эл",АО,3,FALSE)&gt;0,VLOOKUP("эл7",АО,2,FALSE),0)</f>
        <v>0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78"/>
      <c r="O101" s="1" t="s">
        <v>118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2">
        <f>VLOOKUP("хвс",АО,5,FALSE)</f>
        <v>83161.789999999994</v>
      </c>
      <c r="H102" s="163"/>
      <c r="I102" s="163"/>
      <c r="J102" s="163"/>
      <c r="L102" s="178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5707.74</v>
      </c>
      <c r="L103" s="178"/>
      <c r="O103" s="1" t="s">
        <v>121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86756.67</v>
      </c>
      <c r="L104" s="178"/>
      <c r="O104" s="1" t="s">
        <v>122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0</v>
      </c>
      <c r="L105" s="178"/>
      <c r="O105" s="1" t="s">
        <v>123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83161.789999999994</v>
      </c>
      <c r="L106" s="178"/>
      <c r="O106" s="1" t="s">
        <v>124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83161.789999999994</v>
      </c>
      <c r="L107" s="178"/>
      <c r="O107" s="1" t="s">
        <v>125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78"/>
      <c r="O108" s="1" t="s">
        <v>126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78"/>
      <c r="O109" s="1" t="s">
        <v>127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2">
        <f>VLOOKUP("воо",АО,5,FALSE)</f>
        <v>101121.31</v>
      </c>
      <c r="H110" s="163"/>
      <c r="I110" s="163"/>
      <c r="J110" s="163"/>
      <c r="L110" s="178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5709.84</v>
      </c>
      <c r="L111" s="178"/>
      <c r="O111" s="1" t="s">
        <v>129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103084.55</v>
      </c>
      <c r="L112" s="178"/>
      <c r="O112" s="1" t="s">
        <v>130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0</v>
      </c>
      <c r="L113" s="178"/>
      <c r="O113" s="1" t="s">
        <v>131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101121.31</v>
      </c>
      <c r="L114" s="178"/>
      <c r="O114" s="1" t="s">
        <v>132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101121.31</v>
      </c>
      <c r="L115" s="178"/>
      <c r="O115" s="1" t="s">
        <v>133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78"/>
      <c r="O116" s="1" t="s">
        <v>134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78"/>
      <c r="O117" s="1" t="s">
        <v>135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2">
        <f>VLOOKUP("тко",АО,5,FALSE)</f>
        <v>0</v>
      </c>
      <c r="H118" s="163"/>
      <c r="I118" s="163"/>
      <c r="J118" s="163"/>
      <c r="L118" s="47"/>
    </row>
    <row r="119" spans="1:15" ht="32.25" hidden="1" customHeight="1" outlineLevel="2">
      <c r="A119" s="160">
        <f t="shared" ref="A119:A125" si="8">IF(VLOOKUP("тко",АО,3,FALSE)&gt;0,VLOOKUP(O119,АО,2,FALSE),0)</f>
        <v>0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0">
        <f t="shared" si="8"/>
        <v>0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0">
        <f t="shared" si="8"/>
        <v>0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0">
        <f t="shared" si="8"/>
        <v>0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0">
        <f t="shared" si="8"/>
        <v>0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0">
        <f t="shared" si="8"/>
        <v>0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0">
        <f t="shared" si="8"/>
        <v>0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3">
        <f>IF(VLOOKUP("гвс",АО,3,FALSE)&gt;0,VLOOKUP("гвс",АО,3,FALSE),0)</f>
        <v>0</v>
      </c>
      <c r="E126" s="163"/>
      <c r="F126" s="13">
        <f>IF(VLOOKUP("гвс",АО,3,FALSE)&gt;0,VLOOKUP("гвс",АО,4,FALSE),0)</f>
        <v>0</v>
      </c>
      <c r="G126" s="162">
        <f>VLOOKUP("гвс",АО,5,FALSE)</f>
        <v>0</v>
      </c>
      <c r="H126" s="163"/>
      <c r="I126" s="163"/>
      <c r="J126" s="163"/>
      <c r="L126" s="47"/>
    </row>
    <row r="127" spans="1:15" ht="32.25" hidden="1" customHeight="1" outlineLevel="2">
      <c r="A127" s="160">
        <f t="shared" ref="A127:A133" si="10">IF(VLOOKUP("гвс",АО,3,FALSE)&gt;0,VLOOKUP(O127,АО,2,FALSE),0)</f>
        <v>0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0">
        <f t="shared" si="10"/>
        <v>0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0">
        <f t="shared" si="10"/>
        <v>0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0">
        <f t="shared" si="10"/>
        <v>0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0">
        <f t="shared" si="10"/>
        <v>0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0">
        <f t="shared" si="10"/>
        <v>0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0">
        <f t="shared" si="10"/>
        <v>0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0" t="s">
        <v>45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0</v>
      </c>
      <c r="O144" t="s">
        <v>169</v>
      </c>
    </row>
    <row r="145" spans="1:15" ht="18.75" customHeight="1" outlineLevel="1">
      <c r="A145" s="160" t="s">
        <v>46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12</v>
      </c>
      <c r="L145" s="15"/>
      <c r="O145" t="s">
        <v>170</v>
      </c>
    </row>
    <row r="146" spans="1:15" ht="30" customHeight="1" outlineLevel="1">
      <c r="A146" s="160" t="s">
        <v>172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256789.89</v>
      </c>
      <c r="O146" t="s">
        <v>171</v>
      </c>
    </row>
    <row r="149" spans="1:15" ht="52.5" customHeight="1">
      <c r="A149" s="156" t="s">
        <v>177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55" t="s">
        <v>188</v>
      </c>
      <c r="B154" s="155"/>
      <c r="C154" s="155"/>
      <c r="D154" s="155"/>
      <c r="E154" s="27">
        <f>ПТО!G1</f>
        <v>-340258.39</v>
      </c>
    </row>
    <row r="155" spans="1:15" ht="34.5" customHeight="1">
      <c r="A155" s="157" t="s">
        <v>192</v>
      </c>
      <c r="B155" s="157"/>
      <c r="C155" s="157"/>
      <c r="D155" s="157"/>
      <c r="E155" s="28">
        <f>J13</f>
        <v>101997.144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2" t="str">
        <f t="shared" ref="A158:A163" si="14">IF(N158&gt;0,N158,0)</f>
        <v>Механизированная уборка и вывоз снега с придомовой территории.</v>
      </c>
      <c r="B158" s="152"/>
      <c r="C158" s="152"/>
      <c r="D158" s="152"/>
      <c r="E158" s="152"/>
      <c r="F158" s="153">
        <f t="shared" ref="F158:F163" si="15">IF(ISERROR(VLOOKUP(A158,$A$28:$J$72,6,FALSE)),0,VLOOKUP(A158,$A$28:$J$72,6,FALSE))</f>
        <v>23416</v>
      </c>
      <c r="G158" s="153"/>
      <c r="H158" s="24" t="str">
        <f t="shared" ref="H158:H187" si="16">VLOOKUP(A158,$A$28:$J$72,8,FALSE)</f>
        <v>разово</v>
      </c>
      <c r="I158" s="154">
        <f t="shared" ref="I158:I161" si="17">VLOOKUP(A158,$A$28:$J$72,9,FALSE)</f>
        <v>1</v>
      </c>
      <c r="J158" s="154"/>
      <c r="M158" s="22" t="s">
        <v>72</v>
      </c>
      <c r="N158" s="1" t="str">
        <f t="array" ref="N158:N187">INDEX($O$43:$O$72,SMALL(IF($M$158=R43:R72,ROW(O43:O72)-42,""),ROW()-157))</f>
        <v>Механизированная уборка и вывоз снега с придомовой территории.</v>
      </c>
    </row>
    <row r="159" spans="1:15" ht="28.5" customHeight="1">
      <c r="A159" s="152" t="str">
        <f t="shared" si="14"/>
        <v>Ремонт шлагбаума (замена кабеля фотоэлементов).</v>
      </c>
      <c r="B159" s="152"/>
      <c r="C159" s="152"/>
      <c r="D159" s="152"/>
      <c r="E159" s="152"/>
      <c r="F159" s="153">
        <f t="shared" si="15"/>
        <v>862</v>
      </c>
      <c r="G159" s="153"/>
      <c r="H159" s="24" t="str">
        <f t="shared" si="16"/>
        <v>разово</v>
      </c>
      <c r="I159" s="154">
        <f t="shared" si="17"/>
        <v>1</v>
      </c>
      <c r="J159" s="154"/>
      <c r="M159" s="22" t="s">
        <v>72</v>
      </c>
      <c r="N159" s="1" t="str">
        <v>Ремонт шлагбаума (замена кабеля фотоэлементов).</v>
      </c>
    </row>
    <row r="160" spans="1:15" ht="28.5" customHeight="1">
      <c r="A160" s="152" t="str">
        <f t="shared" si="14"/>
        <v>Приобретение и монтаж оборудования системы домофон.</v>
      </c>
      <c r="B160" s="152"/>
      <c r="C160" s="152"/>
      <c r="D160" s="152"/>
      <c r="E160" s="152"/>
      <c r="F160" s="153">
        <f t="shared" si="15"/>
        <v>17726</v>
      </c>
      <c r="G160" s="153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Приобретение и монтаж оборудования системы домофон.</v>
      </c>
    </row>
    <row r="161" spans="1:14" ht="28.5" customHeight="1">
      <c r="A161" s="152" t="str">
        <f>IF(N161&gt;0,N161,0)</f>
        <v>Ремонт кровли террасы.</v>
      </c>
      <c r="B161" s="152"/>
      <c r="C161" s="152"/>
      <c r="D161" s="152"/>
      <c r="E161" s="152"/>
      <c r="F161" s="153">
        <f t="shared" si="15"/>
        <v>51604</v>
      </c>
      <c r="G161" s="153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Ремонт кровли террасы.</v>
      </c>
    </row>
    <row r="162" spans="1:14" ht="28.5" customHeight="1">
      <c r="A162" s="152" t="str">
        <f t="shared" si="14"/>
        <v>Приобретение и замена шаровых кранов (Ду 25, 50, 80) и манометров (9 шт.).</v>
      </c>
      <c r="B162" s="152"/>
      <c r="C162" s="152"/>
      <c r="D162" s="152"/>
      <c r="E162" s="152"/>
      <c r="F162" s="153">
        <f t="shared" si="15"/>
        <v>2514.98</v>
      </c>
      <c r="G162" s="153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Приобретение и замена шаровых кранов (Ду 25, 50, 80) и манометров (9 шт.).</v>
      </c>
    </row>
    <row r="163" spans="1:14" ht="28.5" customHeight="1">
      <c r="A163" s="152" t="str">
        <f t="shared" si="14"/>
        <v>Ремонт шлагбаума (октябрь).</v>
      </c>
      <c r="B163" s="152"/>
      <c r="C163" s="152"/>
      <c r="D163" s="152"/>
      <c r="E163" s="152"/>
      <c r="F163" s="153">
        <f t="shared" si="15"/>
        <v>475</v>
      </c>
      <c r="G163" s="153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Ремонт шлагбаума (октябрь).</v>
      </c>
    </row>
    <row r="164" spans="1:14" ht="28.5" customHeight="1">
      <c r="A164" s="152" t="str">
        <f t="shared" ref="A164:A187" si="18">IF(N164&gt;0,N164,0)</f>
        <v>Приобретение и установка GSM-модуля, sim-карты (годовая оплата) к шлагбауму.</v>
      </c>
      <c r="B164" s="152"/>
      <c r="C164" s="152"/>
      <c r="D164" s="152"/>
      <c r="E164" s="152"/>
      <c r="F164" s="153">
        <f t="shared" ref="F164:F187" si="19">IF(ISERROR(VLOOKUP(A164,$A$28:$J$72,6,FALSE)),0,VLOOKUP(A164,$A$28:$J$72,6,FALSE))</f>
        <v>3204</v>
      </c>
      <c r="G164" s="153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Приобретение и установка GSM-модуля, sim-карты (годовая оплата) к шлагбауму.</v>
      </c>
    </row>
    <row r="165" spans="1:14" ht="28.5" hidden="1" customHeight="1">
      <c r="A165" s="152">
        <f t="shared" si="18"/>
        <v>0</v>
      </c>
      <c r="B165" s="152"/>
      <c r="C165" s="152"/>
      <c r="D165" s="152"/>
      <c r="E165" s="152"/>
      <c r="F165" s="153">
        <f t="shared" si="19"/>
        <v>0</v>
      </c>
      <c r="G165" s="153"/>
      <c r="H165" s="29" t="e">
        <f t="shared" si="16"/>
        <v>#N/A</v>
      </c>
      <c r="I165" s="154" t="e">
        <f t="shared" si="20"/>
        <v>#N/A</v>
      </c>
      <c r="J165" s="154"/>
      <c r="M165" s="22" t="s">
        <v>72</v>
      </c>
      <c r="N165" s="1">
        <v>0</v>
      </c>
    </row>
    <row r="166" spans="1:14" ht="28.5" hidden="1" customHeight="1">
      <c r="A166" s="152">
        <f t="shared" si="18"/>
        <v>0</v>
      </c>
      <c r="B166" s="152"/>
      <c r="C166" s="152"/>
      <c r="D166" s="152"/>
      <c r="E166" s="152"/>
      <c r="F166" s="153">
        <f t="shared" si="19"/>
        <v>0</v>
      </c>
      <c r="G166" s="153"/>
      <c r="H166" s="29" t="e">
        <f t="shared" si="16"/>
        <v>#N/A</v>
      </c>
      <c r="I166" s="154" t="e">
        <f t="shared" si="20"/>
        <v>#N/A</v>
      </c>
      <c r="J166" s="154"/>
      <c r="M166" s="22" t="s">
        <v>72</v>
      </c>
      <c r="N166" s="1">
        <v>0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3">
        <f t="shared" si="19"/>
        <v>0</v>
      </c>
      <c r="G167" s="153"/>
      <c r="H167" s="29" t="e">
        <f t="shared" si="16"/>
        <v>#N/A</v>
      </c>
      <c r="I167" s="154" t="e">
        <f t="shared" si="20"/>
        <v>#N/A</v>
      </c>
      <c r="J167" s="154"/>
      <c r="M167" s="22" t="s">
        <v>72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3">
        <f t="shared" si="19"/>
        <v>0</v>
      </c>
      <c r="G168" s="153"/>
      <c r="H168" s="29" t="e">
        <f t="shared" si="16"/>
        <v>#N/A</v>
      </c>
      <c r="I168" s="154" t="e">
        <f t="shared" si="20"/>
        <v>#N/A</v>
      </c>
      <c r="J168" s="154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3">
        <f t="shared" si="19"/>
        <v>0</v>
      </c>
      <c r="G169" s="153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3">
        <f t="shared" si="19"/>
        <v>0</v>
      </c>
      <c r="G170" s="153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3">
        <f t="shared" si="19"/>
        <v>0</v>
      </c>
      <c r="G171" s="153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3">
        <f t="shared" si="19"/>
        <v>0</v>
      </c>
      <c r="G172" s="153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3">
        <f t="shared" si="19"/>
        <v>0</v>
      </c>
      <c r="G173" s="153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3">
        <f t="shared" si="19"/>
        <v>0</v>
      </c>
      <c r="G174" s="153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3">
        <f t="shared" si="19"/>
        <v>0</v>
      </c>
      <c r="G175" s="153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3">
        <f t="shared" si="19"/>
        <v>0</v>
      </c>
      <c r="G176" s="153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3">
        <f t="shared" si="19"/>
        <v>0</v>
      </c>
      <c r="G177" s="153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3">
        <f t="shared" si="19"/>
        <v>0</v>
      </c>
      <c r="G178" s="153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3">
        <f t="shared" si="19"/>
        <v>0</v>
      </c>
      <c r="G179" s="153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3">
        <f t="shared" si="19"/>
        <v>0</v>
      </c>
      <c r="G180" s="153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3">
        <f t="shared" si="19"/>
        <v>0</v>
      </c>
      <c r="G181" s="153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3">
        <f t="shared" si="19"/>
        <v>0</v>
      </c>
      <c r="G182" s="153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3">
        <f t="shared" si="19"/>
        <v>0</v>
      </c>
      <c r="G183" s="153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3">
        <f t="shared" si="19"/>
        <v>0</v>
      </c>
      <c r="G184" s="153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3">
        <f t="shared" si="19"/>
        <v>0</v>
      </c>
      <c r="G185" s="153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3">
        <f t="shared" si="19"/>
        <v>0</v>
      </c>
      <c r="G186" s="153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3">
        <f t="shared" si="19"/>
        <v>0</v>
      </c>
      <c r="G187" s="153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55" t="s">
        <v>191</v>
      </c>
      <c r="B190" s="155"/>
      <c r="C190" s="155"/>
      <c r="D190" s="155"/>
      <c r="E190" s="27">
        <f>SUM(F158:G187)</f>
        <v>99801.98</v>
      </c>
    </row>
    <row r="191" spans="1:14" ht="51.75" customHeight="1">
      <c r="A191" s="155" t="s">
        <v>190</v>
      </c>
      <c r="B191" s="155"/>
      <c r="C191" s="155"/>
      <c r="D191" s="155"/>
      <c r="E191" s="27">
        <f>E190+E154-E155</f>
        <v>-342453.554</v>
      </c>
    </row>
    <row r="192" spans="1:14">
      <c r="A192" s="104" t="s">
        <v>173</v>
      </c>
    </row>
    <row r="193" spans="1:10" ht="62.25" customHeight="1">
      <c r="A193" s="180" t="s">
        <v>189</v>
      </c>
      <c r="B193" s="180"/>
      <c r="C193" s="180"/>
      <c r="D193" s="180"/>
      <c r="E193" s="180"/>
      <c r="F193" s="180"/>
      <c r="G193" s="180"/>
      <c r="H193" s="180"/>
      <c r="I193" s="180"/>
      <c r="J193" s="180"/>
    </row>
    <row r="194" spans="1:10">
      <c r="A194" s="179" t="str">
        <f>ПТО!F12</f>
        <v xml:space="preserve">  -  поверка (замена) манометров и термометров</v>
      </c>
      <c r="B194" s="179"/>
      <c r="C194" s="179"/>
      <c r="D194" s="179"/>
      <c r="E194" s="179"/>
      <c r="F194" s="179"/>
      <c r="G194" s="179"/>
      <c r="H194" s="49">
        <f>ПТО!G12</f>
        <v>1200</v>
      </c>
      <c r="I194" s="50" t="s">
        <v>74</v>
      </c>
    </row>
    <row r="195" spans="1:10" ht="18.75" customHeight="1">
      <c r="A195" s="179" t="str">
        <f>ПТО!F13</f>
        <v xml:space="preserve">  - благоустройство придомовой территории</v>
      </c>
      <c r="B195" s="179"/>
      <c r="C195" s="179"/>
      <c r="D195" s="179"/>
      <c r="E195" s="179"/>
      <c r="F195" s="179"/>
      <c r="G195" s="179"/>
      <c r="H195" s="49">
        <f>ПТО!G13</f>
        <v>7000</v>
      </c>
      <c r="I195" s="50" t="s">
        <v>74</v>
      </c>
    </row>
    <row r="196" spans="1:10" ht="18.75" customHeight="1">
      <c r="A196" s="179" t="str">
        <f>ПТО!F14</f>
        <v xml:space="preserve">  -  ремонт подъезда</v>
      </c>
      <c r="B196" s="179"/>
      <c r="C196" s="179"/>
      <c r="D196" s="179"/>
      <c r="E196" s="179"/>
      <c r="F196" s="179"/>
      <c r="G196" s="179"/>
      <c r="H196" s="49">
        <f>ПТО!G14</f>
        <v>300000</v>
      </c>
      <c r="I196" s="50" t="s">
        <v>74</v>
      </c>
    </row>
    <row r="197" spans="1:10" ht="18.75" customHeight="1">
      <c r="A197" s="179" t="str">
        <f>ПТО!F15</f>
        <v xml:space="preserve">  -  ремонт отмостки</v>
      </c>
      <c r="B197" s="179"/>
      <c r="C197" s="179"/>
      <c r="D197" s="179"/>
      <c r="E197" s="179"/>
      <c r="F197" s="179"/>
      <c r="G197" s="179"/>
      <c r="H197" s="49">
        <f>ПТО!G15</f>
        <v>60000</v>
      </c>
      <c r="I197" s="50" t="s">
        <v>74</v>
      </c>
    </row>
    <row r="198" spans="1:10" ht="18.75" hidden="1" customHeight="1">
      <c r="A198" s="179">
        <f>ПТО!F16</f>
        <v>0</v>
      </c>
      <c r="B198" s="179"/>
      <c r="C198" s="179"/>
      <c r="D198" s="179"/>
      <c r="E198" s="179"/>
      <c r="F198" s="179"/>
      <c r="G198" s="179"/>
      <c r="H198" s="49">
        <f>ПТО!G16</f>
        <v>0</v>
      </c>
      <c r="I198" s="52" t="s">
        <v>74</v>
      </c>
    </row>
    <row r="199" spans="1:10" ht="18.75" hidden="1" customHeight="1">
      <c r="A199" s="179">
        <f>ПТО!F17</f>
        <v>0</v>
      </c>
      <c r="B199" s="179"/>
      <c r="C199" s="179"/>
      <c r="D199" s="179"/>
      <c r="E199" s="179"/>
      <c r="F199" s="179"/>
      <c r="G199" s="179"/>
      <c r="H199" s="49">
        <f>ПТО!G17</f>
        <v>0</v>
      </c>
      <c r="I199" s="50" t="s">
        <v>74</v>
      </c>
    </row>
    <row r="200" spans="1:10" hidden="1">
      <c r="A200" s="179">
        <f>ПТО!F18</f>
        <v>0</v>
      </c>
      <c r="B200" s="179"/>
      <c r="C200" s="179"/>
      <c r="D200" s="179"/>
      <c r="E200" s="179"/>
      <c r="F200" s="179"/>
      <c r="G200" s="179"/>
      <c r="H200" s="49">
        <f>ПТО!G18</f>
        <v>0</v>
      </c>
      <c r="I200" s="50" t="s">
        <v>74</v>
      </c>
    </row>
    <row r="201" spans="1:10" hidden="1">
      <c r="A201" s="179">
        <f>ПТО!F19</f>
        <v>0</v>
      </c>
      <c r="B201" s="179"/>
      <c r="C201" s="179"/>
      <c r="D201" s="179"/>
      <c r="E201" s="179"/>
      <c r="F201" s="179"/>
      <c r="G201" s="179"/>
      <c r="H201" s="49">
        <f>ПТО!G19</f>
        <v>0</v>
      </c>
      <c r="I201" s="50" t="s">
        <v>74</v>
      </c>
    </row>
    <row r="202" spans="1:10" hidden="1">
      <c r="A202" s="179">
        <f>ПТО!F20</f>
        <v>0</v>
      </c>
      <c r="B202" s="179"/>
      <c r="C202" s="179"/>
      <c r="D202" s="179"/>
      <c r="E202" s="179"/>
      <c r="F202" s="179"/>
      <c r="G202" s="179"/>
      <c r="H202" s="49">
        <f>ПТО!G20</f>
        <v>0</v>
      </c>
      <c r="I202" s="50" t="s">
        <v>74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49">
        <f>ПТО!G21</f>
        <v>0</v>
      </c>
      <c r="I203" s="50" t="s">
        <v>74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49">
        <f>ПТО!G22</f>
        <v>0</v>
      </c>
      <c r="I204" s="50" t="s">
        <v>74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49">
        <f>ПТО!G23</f>
        <v>0</v>
      </c>
      <c r="I205" s="50" t="s">
        <v>74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49">
        <f>ПТО!G24</f>
        <v>0</v>
      </c>
      <c r="I206" s="50" t="s">
        <v>74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49">
        <f>ПТО!G25</f>
        <v>0</v>
      </c>
      <c r="I207" s="50" t="s">
        <v>74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49">
        <f>ПТО!G26</f>
        <v>0</v>
      </c>
      <c r="I208" s="50" t="s">
        <v>74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49">
        <f>ПТО!G27</f>
        <v>0</v>
      </c>
      <c r="I209" s="50" t="s">
        <v>74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49">
        <f>ПТО!G28</f>
        <v>0</v>
      </c>
      <c r="I210" s="50" t="s">
        <v>74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49">
        <f>ПТО!G29</f>
        <v>0</v>
      </c>
      <c r="I211" s="50" t="s">
        <v>74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49">
        <f>ПТО!G30</f>
        <v>0</v>
      </c>
      <c r="I212" s="50" t="s">
        <v>74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368200</v>
      </c>
      <c r="I214" s="56" t="s">
        <v>76</v>
      </c>
    </row>
  </sheetData>
  <sheetProtection algorithmName="SHA-512" hashValue="BBkYk/7D33ccE+Qo34y+oclZOEbprqXXI3kvVylw+BuTzI+JIW81cYb3Q+ovSecwKHTBSth4G8ScvBzh1VchPQ==" saltValue="5H/X9rEjBVOavS0V01NF6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15748031496062992" bottom="0.15748031496062992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10" sqref="G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-340258.39</f>
        <v>-340258.39</v>
      </c>
    </row>
    <row r="2" spans="1:12" ht="18.75" customHeight="1">
      <c r="A2" s="138" t="s">
        <v>187</v>
      </c>
      <c r="B2" s="139" t="s">
        <v>175</v>
      </c>
      <c r="C2" s="125">
        <v>1</v>
      </c>
      <c r="D2" s="124">
        <v>23416</v>
      </c>
      <c r="E2" s="118" t="s">
        <v>194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0" t="s">
        <v>193</v>
      </c>
      <c r="B3" s="141" t="s">
        <v>175</v>
      </c>
      <c r="C3" s="125">
        <v>1</v>
      </c>
      <c r="D3" s="126">
        <v>862</v>
      </c>
      <c r="E3" s="118" t="s">
        <v>195</v>
      </c>
      <c r="F3" s="30"/>
      <c r="G3" s="30"/>
      <c r="L3" s="33" t="str">
        <f t="shared" si="0"/>
        <v>ТР</v>
      </c>
    </row>
    <row r="4" spans="1:12" ht="18.75" customHeight="1">
      <c r="A4" s="151" t="s">
        <v>204</v>
      </c>
      <c r="B4" s="143" t="s">
        <v>175</v>
      </c>
      <c r="C4" s="144">
        <v>1</v>
      </c>
      <c r="D4" s="124">
        <v>17726</v>
      </c>
      <c r="E4" s="118" t="s">
        <v>199</v>
      </c>
      <c r="F4" s="30"/>
      <c r="G4" s="30"/>
      <c r="L4" s="33" t="str">
        <f t="shared" si="0"/>
        <v>ТР</v>
      </c>
    </row>
    <row r="5" spans="1:12" ht="18.75" customHeight="1">
      <c r="A5" s="151" t="s">
        <v>205</v>
      </c>
      <c r="B5" s="145" t="s">
        <v>175</v>
      </c>
      <c r="C5" s="144">
        <v>1</v>
      </c>
      <c r="D5" s="124">
        <v>51604</v>
      </c>
      <c r="E5" s="118" t="s">
        <v>200</v>
      </c>
      <c r="F5" s="44"/>
      <c r="G5" s="44"/>
      <c r="K5" s="46"/>
      <c r="L5" s="33" t="str">
        <f t="shared" si="0"/>
        <v>ТР</v>
      </c>
    </row>
    <row r="6" spans="1:12" ht="18.75" customHeight="1">
      <c r="A6" s="146" t="s">
        <v>196</v>
      </c>
      <c r="B6" s="147" t="s">
        <v>175</v>
      </c>
      <c r="C6" s="144">
        <v>1</v>
      </c>
      <c r="D6" s="124">
        <f>1565.18+949.8</f>
        <v>2514.98</v>
      </c>
      <c r="E6" s="118" t="s">
        <v>201</v>
      </c>
      <c r="F6" s="44"/>
      <c r="G6" s="44"/>
      <c r="K6" s="46"/>
      <c r="L6" s="33" t="str">
        <f t="shared" si="0"/>
        <v>ТР</v>
      </c>
    </row>
    <row r="7" spans="1:12" ht="18.75" customHeight="1">
      <c r="A7" s="142" t="s">
        <v>197</v>
      </c>
      <c r="B7" s="117" t="s">
        <v>175</v>
      </c>
      <c r="C7" s="127">
        <v>1</v>
      </c>
      <c r="D7" s="128">
        <v>475</v>
      </c>
      <c r="E7" s="118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48" t="s">
        <v>202</v>
      </c>
      <c r="B8" s="149" t="s">
        <v>175</v>
      </c>
      <c r="C8" s="125">
        <v>1</v>
      </c>
      <c r="D8" s="126">
        <f>168+3036</f>
        <v>3204</v>
      </c>
      <c r="E8" s="118" t="s">
        <v>203</v>
      </c>
      <c r="F8" s="45"/>
      <c r="G8" s="45"/>
      <c r="K8" s="43"/>
      <c r="L8" s="33" t="str">
        <f t="shared" si="0"/>
        <v>ТР</v>
      </c>
    </row>
    <row r="9" spans="1:12">
      <c r="A9" s="150"/>
      <c r="B9" s="117"/>
      <c r="C9" s="127"/>
      <c r="D9" s="130"/>
      <c r="E9" s="130"/>
      <c r="F9" s="44"/>
      <c r="G9" s="44"/>
      <c r="K9" s="43"/>
      <c r="L9" s="33">
        <f t="shared" si="0"/>
        <v>0</v>
      </c>
    </row>
    <row r="10" spans="1:12">
      <c r="A10" s="131"/>
      <c r="B10" s="117"/>
      <c r="C10" s="117"/>
      <c r="D10" s="129"/>
      <c r="E10" s="130"/>
      <c r="L10" s="33">
        <f t="shared" si="0"/>
        <v>0</v>
      </c>
    </row>
    <row r="11" spans="1:12" ht="94.5">
      <c r="A11" s="131"/>
      <c r="B11" s="117"/>
      <c r="C11" s="117"/>
      <c r="D11" s="129"/>
      <c r="E11" s="130"/>
      <c r="F11" s="111" t="s">
        <v>189</v>
      </c>
      <c r="G11" s="111"/>
      <c r="L11" s="33">
        <f t="shared" si="0"/>
        <v>0</v>
      </c>
    </row>
    <row r="12" spans="1:12" ht="31.5">
      <c r="A12" s="132"/>
      <c r="B12" s="117"/>
      <c r="C12" s="127"/>
      <c r="D12" s="128"/>
      <c r="E12" s="118"/>
      <c r="F12" s="112" t="s">
        <v>73</v>
      </c>
      <c r="G12" s="113">
        <v>1200</v>
      </c>
      <c r="L12" s="33">
        <f t="shared" si="0"/>
        <v>0</v>
      </c>
    </row>
    <row r="13" spans="1:12" ht="31.5">
      <c r="A13" s="136"/>
      <c r="B13" s="117"/>
      <c r="C13" s="127"/>
      <c r="D13" s="128"/>
      <c r="E13" s="118"/>
      <c r="F13" s="112" t="s">
        <v>178</v>
      </c>
      <c r="G13" s="113">
        <v>7000</v>
      </c>
      <c r="L13" s="33">
        <f t="shared" si="0"/>
        <v>0</v>
      </c>
    </row>
    <row r="14" spans="1:12" ht="15.75">
      <c r="A14" s="134"/>
      <c r="B14" s="117"/>
      <c r="C14" s="127"/>
      <c r="D14" s="129"/>
      <c r="E14" s="130"/>
      <c r="F14" s="112" t="s">
        <v>206</v>
      </c>
      <c r="G14" s="113">
        <v>300000</v>
      </c>
      <c r="L14" s="33">
        <f t="shared" si="0"/>
        <v>0</v>
      </c>
    </row>
    <row r="15" spans="1:12" ht="15.75">
      <c r="A15" s="135"/>
      <c r="B15" s="117"/>
      <c r="C15" s="127"/>
      <c r="D15" s="130"/>
      <c r="E15" s="130"/>
      <c r="F15" s="122" t="s">
        <v>186</v>
      </c>
      <c r="G15" s="123">
        <v>60000</v>
      </c>
      <c r="L15" s="33">
        <f t="shared" si="0"/>
        <v>0</v>
      </c>
    </row>
    <row r="16" spans="1:12" ht="15.75">
      <c r="A16" s="30"/>
      <c r="F16" s="112"/>
      <c r="G16" s="113"/>
      <c r="L16" s="33">
        <f t="shared" si="0"/>
        <v>0</v>
      </c>
    </row>
    <row r="17" spans="1:12" ht="15.75">
      <c r="A17" s="30"/>
      <c r="F17" s="122"/>
      <c r="G17" s="12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 ht="15.75">
      <c r="A19" s="30"/>
      <c r="F19" s="7"/>
      <c r="G19" s="137"/>
      <c r="L19" s="33">
        <f t="shared" si="0"/>
        <v>0</v>
      </c>
    </row>
    <row r="20" spans="1:12" ht="15.75">
      <c r="A20" s="30"/>
      <c r="F20" s="7"/>
      <c r="G20" s="137"/>
      <c r="L20" s="33">
        <f t="shared" si="0"/>
        <v>0</v>
      </c>
    </row>
    <row r="21" spans="1:12" ht="15.75">
      <c r="F21" s="7"/>
      <c r="G21" s="137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f>2.72*D41*'Абонентский отдел'!F1</f>
        <v>70414.272000000012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70414.272000000012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f>2.46*D41*'Абонентский отдел'!F1</f>
        <v>63683.496000000006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63683.496000000006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f>1.15*D41*'Абонентский отдел'!F1</f>
        <v>29770.74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29770.74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f>0.82*D41*'Абонентский отдел'!F1</f>
        <v>21227.832000000002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21227.832000000002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f>2.18*D41*'Абонентский отдел'!F1</f>
        <v>56434.968000000015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56434.968000000015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19"/>
      <c r="C47" s="120"/>
      <c r="D47" s="48"/>
      <c r="E47" s="119">
        <v>173.2</v>
      </c>
      <c r="F47" s="119">
        <v>173.2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1" t="s">
        <v>179</v>
      </c>
      <c r="F52" s="121" t="s">
        <v>180</v>
      </c>
      <c r="G52" s="121" t="s">
        <v>181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1">
        <v>35.896999999999998</v>
      </c>
      <c r="F53" s="119">
        <v>2240.1</v>
      </c>
      <c r="G53" s="121">
        <v>3.48</v>
      </c>
      <c r="H53" s="121">
        <f>G53*E47/F53</f>
        <v>0.26906655952859249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1"/>
      <c r="F54" s="121" t="s">
        <v>182</v>
      </c>
      <c r="G54" s="121" t="s">
        <v>183</v>
      </c>
      <c r="H54" s="121">
        <f>H53*64.8</f>
        <v>17.435513057452791</v>
      </c>
    </row>
    <row r="55" spans="5:16">
      <c r="E55" s="121"/>
      <c r="F55" s="121">
        <v>1.17</v>
      </c>
      <c r="G55" s="121">
        <v>1.23</v>
      </c>
      <c r="H55" s="121"/>
    </row>
    <row r="56" spans="5:16">
      <c r="E56" s="121"/>
      <c r="F56" s="121"/>
      <c r="G56" s="121"/>
      <c r="H56" s="121"/>
    </row>
    <row r="57" spans="5:16">
      <c r="E57" s="121"/>
      <c r="F57" s="121"/>
      <c r="G57" s="121"/>
      <c r="H57" s="121"/>
    </row>
    <row r="58" spans="5:16">
      <c r="E58" s="121" t="s">
        <v>184</v>
      </c>
      <c r="F58" s="121"/>
      <c r="G58" s="121"/>
      <c r="H58" s="121"/>
    </row>
    <row r="59" spans="5:16">
      <c r="E59" s="121">
        <v>0.59599999999999997</v>
      </c>
      <c r="F59" s="119">
        <v>2240.1</v>
      </c>
      <c r="G59" s="121">
        <v>7.4999999999999997E-2</v>
      </c>
      <c r="H59" s="121">
        <f>G59*F47</f>
        <v>12.989999999999998</v>
      </c>
    </row>
    <row r="60" spans="5:16">
      <c r="E60" s="121"/>
      <c r="F60" s="121" t="s">
        <v>182</v>
      </c>
      <c r="G60" s="121" t="s">
        <v>183</v>
      </c>
      <c r="H60" s="121">
        <f>H59/F59</f>
        <v>5.7988482657024233E-3</v>
      </c>
    </row>
    <row r="61" spans="5:16">
      <c r="E61" s="121"/>
      <c r="F61" s="121">
        <v>12.94</v>
      </c>
      <c r="G61" s="121">
        <v>13.45</v>
      </c>
      <c r="H61" s="121">
        <f>H60*64.8</f>
        <v>0.375765367617517</v>
      </c>
    </row>
    <row r="62" spans="5:16">
      <c r="E62" s="121" t="s">
        <v>185</v>
      </c>
      <c r="F62" s="121"/>
      <c r="G62" s="121"/>
      <c r="H62" s="121"/>
    </row>
    <row r="63" spans="5:16">
      <c r="E63" s="121">
        <v>0.59599999999999997</v>
      </c>
      <c r="F63" s="119">
        <v>2240.1</v>
      </c>
      <c r="G63" s="121">
        <v>7.4999999999999997E-2</v>
      </c>
      <c r="H63" s="121">
        <f>G63*F47</f>
        <v>12.989999999999998</v>
      </c>
    </row>
    <row r="64" spans="5:16">
      <c r="E64" s="121"/>
      <c r="F64" s="121" t="s">
        <v>182</v>
      </c>
      <c r="G64" s="121" t="s">
        <v>183</v>
      </c>
      <c r="H64" s="121">
        <f>H63/F63</f>
        <v>5.7988482657024233E-3</v>
      </c>
    </row>
    <row r="65" spans="4:13" ht="18.75" customHeight="1">
      <c r="E65" s="121"/>
      <c r="F65" s="121">
        <v>15.73</v>
      </c>
      <c r="G65" s="121">
        <v>16.350000000000001</v>
      </c>
      <c r="H65" s="121">
        <f>H64*64.8</f>
        <v>0.375765367617517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2157.3000000000002</v>
      </c>
    </row>
    <row r="2" spans="1:10" ht="15.75" customHeight="1">
      <c r="A2" s="70" t="s">
        <v>81</v>
      </c>
      <c r="B2" s="72" t="s">
        <v>2</v>
      </c>
      <c r="C2" s="83">
        <v>53973.440000000002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453838.91399999999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242712.35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F1*3.94*12</f>
        <v>101997.144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109129.42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454810.92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454810.92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454810.92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54945.445999999996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3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3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3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3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2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2"/>
      <c r="N26" s="63"/>
    </row>
    <row r="27" spans="1:15" ht="18.75" customHeight="1">
      <c r="A27" s="70" t="s">
        <v>104</v>
      </c>
      <c r="B27" s="75" t="s">
        <v>4</v>
      </c>
      <c r="C27" s="86">
        <v>29048.95</v>
      </c>
      <c r="D27" s="81" t="s">
        <v>60</v>
      </c>
      <c r="E27" s="64"/>
      <c r="F27" s="64"/>
      <c r="G27" s="64"/>
      <c r="H27" s="64"/>
      <c r="I27" s="64"/>
      <c r="J27" s="64"/>
      <c r="M27" s="182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2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2"/>
      <c r="N29" s="63"/>
    </row>
    <row r="30" spans="1:15" ht="18.75" customHeight="1">
      <c r="A30" s="70" t="s">
        <v>107</v>
      </c>
      <c r="B30" s="75" t="s">
        <v>18</v>
      </c>
      <c r="C30" s="86">
        <v>23490.83</v>
      </c>
      <c r="D30" s="81" t="s">
        <v>66</v>
      </c>
      <c r="E30" s="64"/>
      <c r="F30" s="64"/>
      <c r="G30" s="64"/>
      <c r="H30" s="64"/>
      <c r="I30" s="64"/>
      <c r="J30" s="64"/>
      <c r="M30" s="182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2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2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2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2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81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81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181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1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81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81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1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1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83161.789999999994</v>
      </c>
      <c r="F45" s="94" t="s">
        <v>166</v>
      </c>
      <c r="G45" s="66"/>
      <c r="H45" s="66"/>
      <c r="L45" s="63"/>
      <c r="M45" s="181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5707.74</v>
      </c>
      <c r="D46" s="94" t="s">
        <v>167</v>
      </c>
      <c r="E46" s="68"/>
      <c r="G46" s="67"/>
      <c r="H46" s="67"/>
      <c r="L46" s="63"/>
      <c r="M46" s="181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86756.67</v>
      </c>
      <c r="D47" s="94" t="s">
        <v>165</v>
      </c>
      <c r="E47" s="133"/>
      <c r="G47" s="67"/>
      <c r="H47" s="67"/>
      <c r="L47" s="63"/>
      <c r="M47" s="181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133"/>
      <c r="G48" s="67"/>
      <c r="H48" s="67"/>
      <c r="L48" s="63"/>
      <c r="M48" s="181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83161.789999999994</v>
      </c>
      <c r="D49" s="80" t="s">
        <v>59</v>
      </c>
      <c r="E49" s="133"/>
      <c r="G49" s="67"/>
      <c r="H49" s="67"/>
      <c r="L49" s="63"/>
      <c r="M49" s="181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83161.789999999994</v>
      </c>
      <c r="D50" s="80" t="s">
        <v>59</v>
      </c>
      <c r="E50" s="68"/>
      <c r="G50" s="67"/>
      <c r="H50" s="67"/>
      <c r="L50" s="63"/>
      <c r="M50" s="181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1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1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101121.31</v>
      </c>
      <c r="F53" s="94" t="s">
        <v>166</v>
      </c>
      <c r="G53" s="66"/>
      <c r="H53" s="66"/>
      <c r="L53" s="63"/>
      <c r="M53" s="181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5709.84</v>
      </c>
      <c r="D54" s="94" t="s">
        <v>167</v>
      </c>
      <c r="E54" s="69"/>
      <c r="F54" s="89"/>
      <c r="G54" s="64"/>
      <c r="H54" s="64"/>
      <c r="L54" s="63"/>
      <c r="M54" s="181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103084.55</v>
      </c>
      <c r="D55" s="94" t="s">
        <v>165</v>
      </c>
      <c r="E55" s="69"/>
      <c r="G55" s="64"/>
      <c r="H55" s="64"/>
      <c r="L55" s="63"/>
      <c r="M55" s="181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1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101121.31</v>
      </c>
      <c r="D57" s="80" t="s">
        <v>59</v>
      </c>
      <c r="E57" s="69"/>
      <c r="G57" s="64"/>
      <c r="H57" s="64"/>
      <c r="L57" s="63"/>
      <c r="M57" s="181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101121.31</v>
      </c>
      <c r="D58" s="80" t="s">
        <v>59</v>
      </c>
      <c r="E58" s="69"/>
      <c r="G58" s="64"/>
      <c r="H58" s="64"/>
      <c r="L58" s="63"/>
      <c r="M58" s="181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1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1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2" sqref="C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256789.89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2024-03-28T03:41:01Z</dcterms:modified>
</cp:coreProperties>
</file>