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97" i="1"/>
  <c r="G94" i="1"/>
  <c r="F94" i="1"/>
  <c r="K94" i="1"/>
  <c r="A122" i="1" l="1"/>
  <c r="A118" i="1"/>
  <c r="A123" i="1"/>
  <c r="A141" i="1"/>
  <c r="A112" i="1"/>
  <c r="F102" i="1"/>
  <c r="A116" i="1"/>
  <c r="D110" i="1"/>
  <c r="A113" i="1"/>
  <c r="A105" i="1"/>
  <c r="A114" i="1"/>
  <c r="F110" i="1"/>
  <c r="A117" i="1"/>
  <c r="A109" i="1"/>
  <c r="A110" i="1"/>
  <c r="A111" i="1"/>
  <c r="A99" i="1"/>
  <c r="D118" i="1"/>
  <c r="A120" i="1"/>
  <c r="A124" i="1"/>
  <c r="A98" i="1"/>
  <c r="F134" i="1"/>
  <c r="A94" i="1"/>
  <c r="A95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<sst xmlns="http://schemas.openxmlformats.org/spreadsheetml/2006/main" count="578" uniqueCount="220">
  <si>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</si>
  <si>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</si>
  <si>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</si>
  <si>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</si>
  <si>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</si>
  <si>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</si>
  <si>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</si>
  <si>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</si>
  <si>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</si>
  <si>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</si>
  <si>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</si>
  <si>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</si>
  <si>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</si>
  <si>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</si>
  <si>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</si>
  <si>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</si>
  <si>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</si>
  <si>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</si>
  <si>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</si>
  <si>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</si>
  <si>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</si>
  <si>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</si>
  <si>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</si>
  <si>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</si>
  <si>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</si>
  <si>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</si>
  <si>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</si>
  <si>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</si>
  <si>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</si>
  <si>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</si>
  <si>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</si>
  <si>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</si>
  <si>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</si>
  <si>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</si>
  <si>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</si>
  <si>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</si>
  <si>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</si>
  <si>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</si>
  <si>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</si>
  <si>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</si>
  <si>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</si>
  <si>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</si>
  <si>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</si>
  <si>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</si>
  <si>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</si>
  <si>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</si>
  <si>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</si>
  <si>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</si>
  <si>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</si>
  <si>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</si>
  <si>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</si>
  <si>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</si>
  <si>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</si>
  <si>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</si>
  <si>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</si>
  <si>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</si>
  <si>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</si>
  <si>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</si>
  <si>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</si>
  <si>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</si>
  <si>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</si>
  <si>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</si>
  <si>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</si>
  <si>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</si>
  <si>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</si>
  <si>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</si>
  <si>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</si>
  <si>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</si>
  <si>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</si>
  <si>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</si>
  <si>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</si>
  <si>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</si>
  <si>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</si>
  <si>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</si>
  <si>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</si>
  <si>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</si>
  <si>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</si>
  <si>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</si>
  <si>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</si>
  <si>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</si>
  <si>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</si>
  <si>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</si>
  <si>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</si>
  <si>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</si>
  <si>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</si>
  <si>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</si>
  <si>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</si>
  <si>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</si>
  <si>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</si>
  <si>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</si>
  <si>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</si>
  <si>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</si>
  <si>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</si>
  <si>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</si>
  <si>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</si>
  <si>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</si>
  <si>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</si>
  <si>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</si>
  <si>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</si>
  <si>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</si>
  <si>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</si>
  <si>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</si>
  <si>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</si>
  <si>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</si>
  <si>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</si>
  <si>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</si>
  <si>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</si>
  <si>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</si>
  <si>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</si>
  <si>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</si>
  <si>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</si>
  <si>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</si>
  <si>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</si>
  <si>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</si>
  <si>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</si>
  <si>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</si>
  <si>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</si>
  <si>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</si>
  <si>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</si>
  <si>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</si>
  <si>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</si>
  <si>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</si>
  <si>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</si>
  <si>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</si>
  <si>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</si>
  <si>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</si>
  <si>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</si>
  <si>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</si>
  <si>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</si>
  <si>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</si>
  <si>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</si>
  <si>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</si>
  <si>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</si>
  <si>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</si>
  <si>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</si>
  <si>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</si>
  <si>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</si>
  <si>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</si>
  <si>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</si>
  <si>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</si>
  <si>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</si>
  <si>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</si>
  <si>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</si>
  <si>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</si>
  <si>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</si>
  <si>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</si>
  <si>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</si>
  <si>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</si>
  <si>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</si>
  <si>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</si>
  <si>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</si>
  <si>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</si>
  <si>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</si>
  <si>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</si>
  <si>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</si>
  <si>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</si>
  <si>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</si>
  <si>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</si>
  <si>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</si>
  <si>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</si>
  <si>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</si>
  <si>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</si>
  <si>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</si>
  <si>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</si>
  <si>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</si>
  <si>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</si>
  <si>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</si>
  <si>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</si>
  <si>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</si>
  <si>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</si>
  <si>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</si>
  <si>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</si>
  <si>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</si>
  <si>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</si>
  <si>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</si>
  <si>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</si>
  <si>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</si>
  <si>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</si>
  <si>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5/2</t>
  </si>
  <si>
    <t>Отчет об исполнении договора управления многоквартирного дома 
Румянцева, 5/2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</si>
  <si>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</si>
  <si>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</si>
  <si>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</si>
  <si>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</si>
  <si>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</si>
  <si>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</si>
  <si>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</si>
  <si>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</si>
  <si>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</si>
  <si>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</si>
  <si>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</si>
  <si>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</si>
  <si>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</si>
  <si>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</si>
  <si>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</si>
  <si>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</si>
  <si>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</si>
  <si>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</si>
  <si>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</si>
  <si>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Механизированная уборка и вывоз снега с придомовой территории.</t>
  </si>
  <si>
    <t>АВР 1/22 от 15.05.2022, счет №10 от 15.03.2022</t>
  </si>
  <si>
    <t>Замена башмаков направляющей кабины лифта (8 шт.).</t>
  </si>
  <si>
    <t>Благоустройство придомовой территории (приобретение перегноя и рассады).</t>
  </si>
  <si>
    <t>АВР 2/22 от 15.06.2022, Решение, счет №22 от 22.02.2022</t>
  </si>
  <si>
    <t>АВР 3/22 от 31.05.2022, Решение, счет №193 от28.04.2022</t>
  </si>
  <si>
    <t>АВР 4/22 от 31.08.2022, Решение, счет №6862 от 21.07.2022</t>
  </si>
  <si>
    <t>Замена блока питания в ИТП.</t>
  </si>
  <si>
    <t>АВР 5/22 от 25.09.2022, Решение, счет №10 от 17.08.2022, №326 от 26.07.2022</t>
  </si>
  <si>
    <t>Приобретение и монтаж светильников в лифт (4 шт.).</t>
  </si>
  <si>
    <t>АВР 6/22 от 30.09.2022, Решение, счет №360 от 13.09.2022</t>
  </si>
  <si>
    <t>Замена погодоведомого контроллера.</t>
  </si>
  <si>
    <t>Замена кнопок вызова для пассажирского лифта.</t>
  </si>
  <si>
    <t>АВР 7/22 от 08.12.2022, Решение, счет №412 от 08.12.2022</t>
  </si>
  <si>
    <t>АВР 8/22 от 29.12.2022, Решение, счет №428 от 27.12.2022</t>
  </si>
  <si>
    <t>Приобретение и установка светильника в лифт.</t>
  </si>
  <si>
    <t>АВР 9/22 от 29.12.2022, счет №234 от 17.11.2022</t>
  </si>
  <si>
    <t>АВР 10/22 от 30.12.2022</t>
  </si>
  <si>
    <t>АВР 11/22 от 29.12.2022</t>
  </si>
  <si>
    <t xml:space="preserve">  -  замена дефлектора </t>
  </si>
  <si>
    <t>Приобретение и замена обратного клапана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</si>
</sst>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</cellStyleXfs>
  <cellXfs count="1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1" fontId="16" fillId="0" borderId="0" xfId="5" applyNumberFormat="1" applyFill="1" applyBorder="1" applyAlignment="1">
      <alignment horizontal="center"/>
    </xf>
    <xf numFmtId="4" fontId="30" fillId="0" borderId="0" xfId="5" applyNumberFormat="1" applyFont="1" applyFill="1" applyBorder="1" applyAlignment="1"/>
    <xf numFmtId="2" fontId="0" fillId="0" borderId="0" xfId="0" applyNumberFormat="1" applyFill="1" applyBorder="1"/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0" fillId="0" borderId="0" xfId="0" applyFill="1" applyBorder="1"/>
    <xf numFmtId="0" fontId="0" fillId="0" borderId="0" xfId="0" applyFill="1"/>
    <xf numFmtId="2" fontId="23" fillId="0" borderId="0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32" fillId="3" borderId="0" xfId="1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40" fillId="0" borderId="0" xfId="0" applyNumberFormat="1" applyFont="1"/>
    <xf numFmtId="0" fontId="11" fillId="0" borderId="0" xfId="9" applyFont="1" applyFill="1" applyBorder="1" applyAlignment="1"/>
    <xf numFmtId="0" fontId="11" fillId="0" borderId="0" xfId="9" applyFont="1" applyFill="1" applyBorder="1" applyAlignment="1">
      <alignment horizontal="center"/>
    </xf>
    <xf numFmtId="0" fontId="15" fillId="0" borderId="0" xfId="9" applyNumberFormat="1" applyFill="1" applyBorder="1" applyAlignment="1">
      <alignment horizontal="center"/>
    </xf>
    <xf numFmtId="4" fontId="15" fillId="0" borderId="0" xfId="9" applyNumberFormat="1" applyFill="1" applyBorder="1" applyAlignment="1"/>
    <xf numFmtId="4" fontId="0" fillId="0" borderId="0" xfId="0" applyNumberFormat="1" applyFill="1"/>
    <xf numFmtId="0" fontId="10" fillId="0" borderId="0" xfId="5" applyFont="1" applyFill="1" applyBorder="1" applyAlignment="1">
      <alignment wrapText="1"/>
    </xf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5" fillId="0" borderId="0" xfId="8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7" applyFont="1" applyFill="1" applyBorder="1" applyAlignment="1"/>
    <xf numFmtId="0" fontId="3" fillId="0" borderId="0" xfId="7" applyFont="1" applyFill="1" applyBorder="1" applyAlignment="1"/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/>
    <xf numFmtId="0" fontId="30" fillId="0" borderId="0" xfId="5" applyFont="1" applyFill="1" applyBorder="1" applyAlignment="1"/>
    <xf numFmtId="0" fontId="16" fillId="0" borderId="0" xfId="5" applyFill="1" applyBorder="1" applyAlignment="1">
      <alignment horizontal="center"/>
    </xf>
    <xf numFmtId="4" fontId="16" fillId="0" borderId="0" xfId="5" applyNumberFormat="1" applyFill="1" applyBorder="1" applyAlignment="1"/>
    <xf numFmtId="0" fontId="13" fillId="0" borderId="0" xfId="13" applyFont="1" applyFill="1" applyBorder="1" applyAlignment="1"/>
    <xf numFmtId="0" fontId="30" fillId="0" borderId="0" xfId="13" applyFont="1" applyFill="1" applyBorder="1" applyAlignment="1">
      <alignment horizontal="center"/>
    </xf>
    <xf numFmtId="4" fontId="30" fillId="0" borderId="0" xfId="13" applyNumberFormat="1" applyFont="1" applyFill="1" applyBorder="1" applyAlignment="1"/>
    <xf numFmtId="0" fontId="2" fillId="0" borderId="0" xfId="5" applyFont="1" applyFill="1" applyBorder="1"/>
    <xf numFmtId="0" fontId="23" fillId="3" borderId="0" xfId="0" applyFont="1" applyFill="1" applyBorder="1"/>
    <xf numFmtId="4" fontId="23" fillId="0" borderId="0" xfId="0" applyNumberFormat="1" applyFont="1"/>
    <xf numFmtId="0" fontId="1" fillId="0" borderId="0" xfId="2" applyFont="1" applyFill="1" applyBorder="1" applyAlignment="1"/>
    <xf numFmtId="0" fontId="20" fillId="0" borderId="0" xfId="0" applyFont="1" applyFill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2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4" fontId="24" fillId="0" borderId="1" xfId="1" applyNumberFormat="1" applyFont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2" fillId="0" borderId="1" xfId="0" applyFont="1" applyBorder="1" applyAlignment="1">
      <alignment horizontal="left" wrapText="1"/>
    </xf>
    <xf numFmtId="0" fontId="22" fillId="0" borderId="1" xfId="1" applyFont="1" applyBorder="1" applyAlignment="1">
      <alignment horizontal="left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6"/>
    <cellStyle name="Обычный 2 4" xfId="10"/>
    <cellStyle name="Обычный 2 5" xfId="14"/>
    <cellStyle name="Обычный 3" xfId="2"/>
    <cellStyle name="Обычный 3 2" xfId="7"/>
    <cellStyle name="Обычный 3 3" xfId="11"/>
    <cellStyle name="Обычный 4" xfId="4"/>
    <cellStyle name="Обычный 4 2" xfId="8"/>
    <cellStyle name="Обычный 4 3" xfId="12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5" sqref="K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178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4" t="s">
        <v>2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9"/>
      <c r="L8" s="181"/>
      <c r="M8" s="109"/>
      <c r="N8" s="109"/>
      <c r="O8" s="70" t="s">
        <v>83</v>
      </c>
      <c r="R8" s="16"/>
    </row>
    <row r="9" spans="1:18" ht="18.75" customHeight="1" outlineLevel="1">
      <c r="A9" s="174" t="s">
        <v>3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9"/>
      <c r="L9" s="181"/>
      <c r="M9" s="109"/>
      <c r="N9" s="109"/>
      <c r="O9" s="70" t="s">
        <v>84</v>
      </c>
    </row>
    <row r="10" spans="1:18" ht="18.75" customHeight="1" outlineLevel="1">
      <c r="A10" s="174" t="s">
        <v>4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158291.41000000003</v>
      </c>
      <c r="K10" s="109"/>
      <c r="L10" s="181"/>
      <c r="M10" s="109"/>
      <c r="N10" s="109"/>
      <c r="O10" s="70" t="s">
        <v>85</v>
      </c>
    </row>
    <row r="11" spans="1:18" outlineLevel="1">
      <c r="A11" s="174" t="s">
        <v>5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585725.61600000004</v>
      </c>
      <c r="K11" s="109"/>
      <c r="L11" s="181"/>
      <c r="M11" s="109"/>
      <c r="N11" s="109"/>
      <c r="O11" s="70" t="s">
        <v>86</v>
      </c>
    </row>
    <row r="12" spans="1:18" ht="18.75" customHeight="1" outlineLevel="1">
      <c r="A12" s="174" t="s">
        <v>6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449721.21600000001</v>
      </c>
      <c r="K12" s="109"/>
      <c r="L12" s="181"/>
      <c r="M12" s="109"/>
      <c r="N12" s="109"/>
      <c r="O12" s="70" t="s">
        <v>87</v>
      </c>
    </row>
    <row r="13" spans="1:18" ht="18.75" customHeight="1" outlineLevel="1">
      <c r="A13" s="174" t="s">
        <v>7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136004.4</v>
      </c>
      <c r="K13" s="109"/>
      <c r="L13" s="181"/>
      <c r="M13" s="109"/>
      <c r="N13" s="109"/>
      <c r="O13" s="70" t="s">
        <v>88</v>
      </c>
    </row>
    <row r="14" spans="1:18" ht="18.75" customHeight="1" outlineLevel="1">
      <c r="A14" s="174" t="s">
        <v>8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09"/>
      <c r="L14" s="181"/>
      <c r="M14" s="109"/>
      <c r="N14" s="109"/>
      <c r="O14" s="70" t="s">
        <v>89</v>
      </c>
    </row>
    <row r="15" spans="1:18" ht="18.75" customHeight="1" outlineLevel="1">
      <c r="A15" s="174" t="s">
        <v>9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560814.41999999993</v>
      </c>
      <c r="K15" s="109"/>
      <c r="L15" s="181"/>
      <c r="M15" s="109"/>
      <c r="N15" s="109"/>
      <c r="O15" s="70" t="s">
        <v>90</v>
      </c>
    </row>
    <row r="16" spans="1:18" ht="18.75" customHeight="1" outlineLevel="1">
      <c r="A16" s="174" t="s">
        <v>10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560814.41999999993</v>
      </c>
      <c r="K16" s="109"/>
      <c r="L16" s="181"/>
      <c r="M16" s="109"/>
      <c r="N16" s="109"/>
      <c r="O16" s="70" t="s">
        <v>91</v>
      </c>
    </row>
    <row r="17" spans="1:23" ht="18.75" customHeight="1" outlineLevel="1">
      <c r="A17" s="174" t="s">
        <v>11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9"/>
      <c r="L17" s="181"/>
      <c r="M17" s="109"/>
      <c r="N17" s="109"/>
      <c r="O17" s="70" t="s">
        <v>92</v>
      </c>
    </row>
    <row r="18" spans="1:23" ht="18.75" customHeight="1" outlineLevel="1">
      <c r="A18" s="174" t="s">
        <v>12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9"/>
      <c r="L18" s="181"/>
      <c r="M18" s="109"/>
      <c r="N18" s="109"/>
      <c r="O18" s="70" t="s">
        <v>93</v>
      </c>
    </row>
    <row r="19" spans="1:23" ht="18.75" customHeight="1" outlineLevel="1">
      <c r="A19" s="174" t="s">
        <v>13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9"/>
      <c r="L19" s="181"/>
      <c r="M19" s="109"/>
      <c r="N19" s="109"/>
      <c r="O19" s="70" t="s">
        <v>94</v>
      </c>
    </row>
    <row r="20" spans="1:23" ht="18.75" customHeight="1" outlineLevel="1">
      <c r="A20" s="174" t="s">
        <v>14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9"/>
      <c r="L20" s="181"/>
      <c r="M20" s="109"/>
      <c r="N20" s="109"/>
      <c r="O20" s="70" t="s">
        <v>95</v>
      </c>
    </row>
    <row r="21" spans="1:23" ht="18.75" customHeight="1" outlineLevel="1">
      <c r="A21" s="174" t="s">
        <v>15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560814.41999999993</v>
      </c>
      <c r="K21" s="109"/>
      <c r="L21" s="181"/>
      <c r="M21" s="109"/>
      <c r="N21" s="109"/>
      <c r="O21" s="70" t="s">
        <v>96</v>
      </c>
    </row>
    <row r="22" spans="1:23" ht="18.75" customHeight="1" outlineLevel="1">
      <c r="A22" s="174" t="s">
        <v>16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9"/>
      <c r="L22" s="181"/>
      <c r="M22" s="109"/>
      <c r="N22" s="109"/>
      <c r="O22" s="70" t="s">
        <v>97</v>
      </c>
    </row>
    <row r="23" spans="1:23" ht="18.75" customHeight="1" outlineLevel="1">
      <c r="A23" s="174" t="s">
        <v>17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9"/>
      <c r="L23" s="181"/>
      <c r="M23" s="109"/>
      <c r="N23" s="109"/>
      <c r="O23" s="70" t="s">
        <v>98</v>
      </c>
    </row>
    <row r="24" spans="1:23" ht="18.75" customHeight="1" outlineLevel="1">
      <c r="A24" s="174" t="s">
        <v>18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183202.60600000015</v>
      </c>
      <c r="K24" s="109"/>
      <c r="L24" s="181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3" t="s">
        <v>19</v>
      </c>
      <c r="B27" s="173"/>
      <c r="C27" s="173"/>
      <c r="D27" s="173"/>
      <c r="E27" s="173"/>
      <c r="F27" s="173" t="s">
        <v>20</v>
      </c>
      <c r="G27" s="173"/>
      <c r="H27" s="5" t="s">
        <v>57</v>
      </c>
      <c r="I27" s="173" t="s">
        <v>21</v>
      </c>
      <c r="J27" s="173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130109.4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70">
        <f>VLOOKUP(A29,ПТО!$A$39:$D$53,2,FALSE)</f>
        <v>53859.24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42966.36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36309.599999999999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11800.68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54464.4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5"/>
      <c r="C35" s="165"/>
      <c r="D35" s="165"/>
      <c r="E35" s="165"/>
      <c r="F35" s="170">
        <f>VLOOKUP(A35,ПТО!$A$39:$D$53,2,FALSE)</f>
        <v>120729.48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9"/>
      <c r="L35" s="182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66" t="e">
        <f>VLOOKUP(A36,ПТО!$A$39:$D$53,4,FALSE)</f>
        <v>#N/A</v>
      </c>
      <c r="J36" s="166"/>
      <c r="K36" s="109"/>
      <c r="L36" s="182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9"/>
      <c r="L37" s="18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9"/>
      <c r="L38" s="18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9"/>
      <c r="L39" s="18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9"/>
      <c r="L40" s="18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9"/>
      <c r="L41" s="18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9"/>
      <c r="L42" s="18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5" t="str">
        <f>ПТО!A2</f>
        <v>Техническое освидетельствование лифта.</v>
      </c>
      <c r="B43" s="165"/>
      <c r="C43" s="165"/>
      <c r="D43" s="165"/>
      <c r="E43" s="165"/>
      <c r="F43" s="170">
        <f>VLOOKUP(A43,ПТО!$A$2:$D$31,4,FALSE)</f>
        <v>4100</v>
      </c>
      <c r="G43" s="170"/>
      <c r="H43" s="19" t="str">
        <f>VLOOKUP(A43,ПТО!$A$2:$D$31,2,FALSE)</f>
        <v>ежегодно</v>
      </c>
      <c r="I43" s="166">
        <f>VLOOKUP(A43,ПТО!$A$2:$D$31,3,FALSE)</f>
        <v>1</v>
      </c>
      <c r="J43" s="166"/>
      <c r="K43" s="109"/>
      <c r="L43" s="182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5" t="str">
        <f>ПТО!A3</f>
        <v>Техническое обслуживание охранной сигнализации.</v>
      </c>
      <c r="B44" s="165"/>
      <c r="C44" s="165"/>
      <c r="D44" s="165"/>
      <c r="E44" s="165"/>
      <c r="F44" s="170">
        <f>VLOOKUP(A44,ПТО!$A$2:$D$31,4,FALSE)</f>
        <v>4000</v>
      </c>
      <c r="G44" s="170"/>
      <c r="H44" s="25" t="str">
        <f>VLOOKUP(A44,ПТО!$A$2:$D$31,2,FALSE)</f>
        <v>ежемесячно</v>
      </c>
      <c r="I44" s="166">
        <f>VLOOKUP(A44,ПТО!$A$2:$D$31,3,FALSE)</f>
        <v>12</v>
      </c>
      <c r="J44" s="166"/>
      <c r="K44" s="109"/>
      <c r="L44" s="18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5" t="str">
        <f>ПТО!A4</f>
        <v>Механизированная уборка и вывоз снега с придомовой территории.</v>
      </c>
      <c r="B45" s="165"/>
      <c r="C45" s="165"/>
      <c r="D45" s="165"/>
      <c r="E45" s="165"/>
      <c r="F45" s="170">
        <f>VLOOKUP(A45,ПТО!$A$2:$D$31,4,FALSE)</f>
        <v>6510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9"/>
      <c r="L45" s="182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5" t="str">
        <f>ПТО!A5</f>
        <v>Замена башмаков направляющей кабины лифта (8 шт.).</v>
      </c>
      <c r="B46" s="165"/>
      <c r="C46" s="165"/>
      <c r="D46" s="165"/>
      <c r="E46" s="165"/>
      <c r="F46" s="170">
        <f>VLOOKUP(A46,ПТО!$A$2:$D$31,4,FALSE)</f>
        <v>9140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9"/>
      <c r="L46" s="182"/>
      <c r="M46" s="115"/>
      <c r="N46" s="109"/>
      <c r="O46" s="23" t="str">
        <f t="shared" si="1"/>
        <v>Замена башмаков направляющей кабины лифта (8 шт.).</v>
      </c>
      <c r="R46" s="22" t="s">
        <v>72</v>
      </c>
    </row>
    <row r="47" spans="1:18" ht="51" customHeight="1" outlineLevel="1">
      <c r="A47" s="165" t="str">
        <f>ПТО!A6</f>
        <v>Благоустройство придомовой территории (приобретение перегноя и рассады).</v>
      </c>
      <c r="B47" s="165"/>
      <c r="C47" s="165"/>
      <c r="D47" s="165"/>
      <c r="E47" s="165"/>
      <c r="F47" s="170">
        <f>VLOOKUP(A47,ПТО!$A$2:$D$31,4,FALSE)</f>
        <v>13250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9"/>
      <c r="L47" s="182"/>
      <c r="M47" s="115"/>
      <c r="N47" s="109"/>
      <c r="O47" s="23" t="str">
        <f t="shared" si="1"/>
        <v>Благоустройство придомовой территории (приобретение перегноя и рассады).</v>
      </c>
      <c r="R47" s="22" t="s">
        <v>72</v>
      </c>
    </row>
    <row r="48" spans="1:18" ht="51" customHeight="1" outlineLevel="1">
      <c r="A48" s="165" t="str">
        <f>ПТО!A7</f>
        <v>Приобретение и замена обратного клапана в ИТП.</v>
      </c>
      <c r="B48" s="165"/>
      <c r="C48" s="165"/>
      <c r="D48" s="165"/>
      <c r="E48" s="165"/>
      <c r="F48" s="170">
        <f>VLOOKUP(A48,ПТО!$A$2:$D$31,4,FALSE)</f>
        <v>1799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9"/>
      <c r="L48" s="182"/>
      <c r="M48" s="115"/>
      <c r="N48" s="109"/>
      <c r="O48" s="23" t="str">
        <f t="shared" si="1"/>
        <v>Приобретение и замена обратного клапана в ИТП.</v>
      </c>
      <c r="R48" s="22" t="s">
        <v>72</v>
      </c>
    </row>
    <row r="49" spans="1:18" ht="51" customHeight="1" outlineLevel="1">
      <c r="A49" s="165" t="str">
        <f>ПТО!A8</f>
        <v>Замена блока питания в ИТП.</v>
      </c>
      <c r="B49" s="165"/>
      <c r="C49" s="165"/>
      <c r="D49" s="165"/>
      <c r="E49" s="165"/>
      <c r="F49" s="170">
        <f>VLOOKUP(A49,ПТО!$A$2:$D$31,4,FALSE)</f>
        <v>4260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9"/>
      <c r="L49" s="182"/>
      <c r="M49" s="115"/>
      <c r="N49" s="109"/>
      <c r="O49" s="23" t="str">
        <f t="shared" si="1"/>
        <v>Замена блока питания в ИТП.</v>
      </c>
      <c r="R49" s="22" t="s">
        <v>72</v>
      </c>
    </row>
    <row r="50" spans="1:18" ht="51" customHeight="1" outlineLevel="1">
      <c r="A50" s="165" t="str">
        <f>ПТО!A9</f>
        <v>Приобретение и монтаж светильников в лифт (4 шт.).</v>
      </c>
      <c r="B50" s="165"/>
      <c r="C50" s="165"/>
      <c r="D50" s="165"/>
      <c r="E50" s="165"/>
      <c r="F50" s="170">
        <f>VLOOKUP(A50,ПТО!$A$2:$D$31,4,FALSE)</f>
        <v>3920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9"/>
      <c r="L50" s="182"/>
      <c r="M50" s="115"/>
      <c r="N50" s="109"/>
      <c r="O50" s="23" t="str">
        <f t="shared" si="1"/>
        <v>Приобретение и монтаж светильников в лифт (4 шт.).</v>
      </c>
      <c r="R50" s="22" t="s">
        <v>72</v>
      </c>
    </row>
    <row r="51" spans="1:18" ht="51" customHeight="1" outlineLevel="1">
      <c r="A51" s="165" t="str">
        <f>ПТО!A10</f>
        <v>Замена кнопок вызова для пассажирского лифта.</v>
      </c>
      <c r="B51" s="165"/>
      <c r="C51" s="165"/>
      <c r="D51" s="165"/>
      <c r="E51" s="165"/>
      <c r="F51" s="170">
        <f>VLOOKUP(A51,ПТО!$A$2:$D$31,4,FALSE)</f>
        <v>3360</v>
      </c>
      <c r="G51" s="170"/>
      <c r="H51" s="25" t="str">
        <f>VLOOKUP(A51,ПТО!$A$2:$D$31,2,FALSE)</f>
        <v>разово</v>
      </c>
      <c r="I51" s="166">
        <f>VLOOKUP(A51,ПТО!$A$2:$D$31,3,FALSE)</f>
        <v>1</v>
      </c>
      <c r="J51" s="166"/>
      <c r="K51" s="109"/>
      <c r="L51" s="182"/>
      <c r="M51" s="115"/>
      <c r="N51" s="109"/>
      <c r="O51" s="23" t="str">
        <f t="shared" si="1"/>
        <v>Замена кнопок вызова для пассажирского лифта.</v>
      </c>
      <c r="R51" s="22" t="s">
        <v>72</v>
      </c>
    </row>
    <row r="52" spans="1:18" ht="51" customHeight="1" outlineLevel="1">
      <c r="A52" s="165" t="str">
        <f>ПТО!A11</f>
        <v>Приобретение и установка светильника в лифт.</v>
      </c>
      <c r="B52" s="165"/>
      <c r="C52" s="165"/>
      <c r="D52" s="165"/>
      <c r="E52" s="165"/>
      <c r="F52" s="170">
        <f>VLOOKUP(A52,ПТО!$A$2:$D$31,4,FALSE)</f>
        <v>980</v>
      </c>
      <c r="G52" s="170"/>
      <c r="H52" s="25" t="str">
        <f>VLOOKUP(A52,ПТО!$A$2:$D$31,2,FALSE)</f>
        <v>разово</v>
      </c>
      <c r="I52" s="166">
        <f>VLOOKUP(A52,ПТО!$A$2:$D$31,3,FALSE)</f>
        <v>1</v>
      </c>
      <c r="J52" s="166"/>
      <c r="K52" s="109"/>
      <c r="L52" s="182"/>
      <c r="M52" s="115"/>
      <c r="N52" s="109"/>
      <c r="O52" s="23" t="str">
        <f t="shared" si="1"/>
        <v>Приобретение и установка светильника в лифт.</v>
      </c>
      <c r="R52" s="22" t="s">
        <v>72</v>
      </c>
    </row>
    <row r="53" spans="1:18" ht="51" customHeight="1" outlineLevel="1">
      <c r="A53" s="165" t="str">
        <f>ПТО!A12</f>
        <v>Замена погодоведомого контроллера.</v>
      </c>
      <c r="B53" s="165"/>
      <c r="C53" s="165"/>
      <c r="D53" s="165"/>
      <c r="E53" s="165"/>
      <c r="F53" s="170">
        <f>VLOOKUP(A53,ПТО!$A$2:$D$31,4,FALSE)</f>
        <v>8544</v>
      </c>
      <c r="G53" s="170"/>
      <c r="H53" s="25" t="str">
        <f>VLOOKUP(A53,ПТО!$A$2:$D$31,2,FALSE)</f>
        <v>разово</v>
      </c>
      <c r="I53" s="166">
        <f>VLOOKUP(A53,ПТО!$A$2:$D$31,3,FALSE)</f>
        <v>1</v>
      </c>
      <c r="J53" s="166"/>
      <c r="K53" s="109"/>
      <c r="L53" s="182"/>
      <c r="M53" s="115"/>
      <c r="N53" s="109"/>
      <c r="O53" s="23" t="str">
        <f t="shared" si="1"/>
        <v>Замена погодоведомого контроллера.</v>
      </c>
      <c r="R53" s="22" t="s">
        <v>72</v>
      </c>
    </row>
    <row r="54" spans="1:18" ht="51" hidden="1" customHeight="1" outlineLevel="1">
      <c r="A54" s="165">
        <f>ПТО!A13</f>
        <v>0</v>
      </c>
      <c r="B54" s="165"/>
      <c r="C54" s="165"/>
      <c r="D54" s="165"/>
      <c r="E54" s="165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66" t="e">
        <f>VLOOKUP(A54,ПТО!$A$2:$D$31,3,FALSE)</f>
        <v>#N/A</v>
      </c>
      <c r="J54" s="166"/>
      <c r="K54" s="109"/>
      <c r="L54" s="18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5">
        <f>ПТО!A14</f>
        <v>0</v>
      </c>
      <c r="B55" s="165"/>
      <c r="C55" s="165"/>
      <c r="D55" s="165"/>
      <c r="E55" s="165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66" t="e">
        <f>VLOOKUP(A55,ПТО!$A$2:$D$31,3,FALSE)</f>
        <v>#N/A</v>
      </c>
      <c r="J55" s="166"/>
      <c r="K55" s="109"/>
      <c r="L55" s="18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66" t="e">
        <f>VLOOKUP(A56,ПТО!$A$2:$D$31,3,FALSE)</f>
        <v>#N/A</v>
      </c>
      <c r="J56" s="166"/>
      <c r="K56" s="109"/>
      <c r="L56" s="18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66" t="e">
        <f>VLOOKUP(A57,ПТО!$A$2:$D$31,3,FALSE)</f>
        <v>#N/A</v>
      </c>
      <c r="J57" s="166"/>
      <c r="K57" s="109"/>
      <c r="L57" s="18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66" t="e">
        <f>VLOOKUP(A58,ПТО!$A$2:$D$31,3,FALSE)</f>
        <v>#N/A</v>
      </c>
      <c r="J58" s="166"/>
      <c r="K58" s="109"/>
      <c r="L58" s="18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66" t="e">
        <f>VLOOKUP(A59,ПТО!$A$2:$D$31,3,FALSE)</f>
        <v>#N/A</v>
      </c>
      <c r="J59" s="166"/>
      <c r="K59" s="109"/>
      <c r="L59" s="18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66" t="e">
        <f>VLOOKUP(A60,ПТО!$A$2:$D$31,3,FALSE)</f>
        <v>#N/A</v>
      </c>
      <c r="J60" s="166"/>
      <c r="K60" s="109"/>
      <c r="L60" s="18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66" t="e">
        <f>VLOOKUP(A61,ПТО!$A$2:$D$31,3,FALSE)</f>
        <v>#N/A</v>
      </c>
      <c r="J61" s="166"/>
      <c r="K61" s="109"/>
      <c r="L61" s="18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66" t="e">
        <f>VLOOKUP(A62,ПТО!$A$2:$D$31,3,FALSE)</f>
        <v>#N/A</v>
      </c>
      <c r="J62" s="166"/>
      <c r="K62" s="109"/>
      <c r="L62" s="18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66" t="e">
        <f>VLOOKUP(A63,ПТО!$A$2:$D$31,3,FALSE)</f>
        <v>#N/A</v>
      </c>
      <c r="J63" s="166"/>
      <c r="K63" s="109"/>
      <c r="L63" s="18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66" t="e">
        <f>VLOOKUP(A64,ПТО!$A$2:$D$31,3,FALSE)</f>
        <v>#N/A</v>
      </c>
      <c r="J64" s="166"/>
      <c r="K64" s="109"/>
      <c r="L64" s="18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66" t="e">
        <f>VLOOKUP(A65,ПТО!$A$2:$D$31,3,FALSE)</f>
        <v>#N/A</v>
      </c>
      <c r="J65" s="166"/>
      <c r="K65" s="109"/>
      <c r="L65" s="18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66" t="e">
        <f>VLOOKUP(A66,ПТО!$A$2:$D$31,3,FALSE)</f>
        <v>#N/A</v>
      </c>
      <c r="J66" s="166"/>
      <c r="K66" s="109"/>
      <c r="L66" s="18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66" t="e">
        <f>VLOOKUP(A67,ПТО!$A$2:$D$31,3,FALSE)</f>
        <v>#N/A</v>
      </c>
      <c r="J67" s="166"/>
      <c r="K67" s="109"/>
      <c r="L67" s="18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66" t="e">
        <f>VLOOKUP(A68,ПТО!$A$2:$D$31,3,FALSE)</f>
        <v>#N/A</v>
      </c>
      <c r="J68" s="166"/>
      <c r="K68" s="109"/>
      <c r="L68" s="18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66" t="e">
        <f>VLOOKUP(A69,ПТО!$A$2:$D$31,3,FALSE)</f>
        <v>#N/A</v>
      </c>
      <c r="J69" s="166"/>
      <c r="K69" s="109"/>
      <c r="L69" s="18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9"/>
      <c r="L70" s="18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9"/>
      <c r="L72" s="18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3" t="s">
        <v>27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85"/>
      <c r="M75" s="109"/>
      <c r="N75" s="109"/>
      <c r="O75" s="70" t="s">
        <v>100</v>
      </c>
    </row>
    <row r="76" spans="1:16384" ht="18.75" customHeight="1" outlineLevel="1">
      <c r="A76" s="183" t="s">
        <v>28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85"/>
      <c r="M76" s="109"/>
      <c r="N76" s="109"/>
      <c r="O76" s="70" t="s">
        <v>101</v>
      </c>
    </row>
    <row r="77" spans="1:16384" ht="21.75" customHeight="1" outlineLevel="1">
      <c r="A77" s="183" t="s">
        <v>29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85"/>
      <c r="M77" s="109"/>
      <c r="N77" s="109"/>
      <c r="O77" s="70" t="s">
        <v>102</v>
      </c>
    </row>
    <row r="78" spans="1:16384" ht="18.75" customHeight="1" outlineLevel="1">
      <c r="A78" s="183" t="s">
        <v>30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85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3" t="s">
        <v>2</v>
      </c>
      <c r="B81" s="163"/>
      <c r="C81" s="163"/>
      <c r="D81" s="163"/>
      <c r="E81" s="163"/>
      <c r="F81" s="163"/>
      <c r="G81" s="163"/>
      <c r="H81" s="163"/>
      <c r="I81" s="163"/>
      <c r="J81" s="97">
        <f t="shared" ref="J81:J90" si="2">VLOOKUP(O81,АО,3,FALSE)</f>
        <v>0</v>
      </c>
      <c r="K81" s="109"/>
      <c r="L81" s="171"/>
      <c r="M81" s="109"/>
      <c r="N81" s="109"/>
      <c r="O81" s="70" t="s">
        <v>104</v>
      </c>
    </row>
    <row r="82" spans="1:15" outlineLevel="1">
      <c r="A82" s="163" t="s">
        <v>3</v>
      </c>
      <c r="B82" s="163"/>
      <c r="C82" s="163"/>
      <c r="D82" s="163"/>
      <c r="E82" s="163"/>
      <c r="F82" s="163"/>
      <c r="G82" s="163"/>
      <c r="H82" s="163"/>
      <c r="I82" s="163"/>
      <c r="J82" s="97">
        <f t="shared" si="2"/>
        <v>0</v>
      </c>
      <c r="K82" s="109"/>
      <c r="L82" s="171"/>
      <c r="M82" s="109"/>
      <c r="N82" s="109"/>
      <c r="O82" s="70" t="s">
        <v>105</v>
      </c>
    </row>
    <row r="83" spans="1:15" outlineLevel="1">
      <c r="A83" s="177" t="s">
        <v>4</v>
      </c>
      <c r="B83" s="178"/>
      <c r="C83" s="178"/>
      <c r="D83" s="178"/>
      <c r="E83" s="178"/>
      <c r="F83" s="178"/>
      <c r="G83" s="178"/>
      <c r="H83" s="178"/>
      <c r="I83" s="179"/>
      <c r="J83" s="97">
        <f t="shared" si="2"/>
        <v>47317.38</v>
      </c>
      <c r="K83" s="109"/>
      <c r="L83" s="171"/>
      <c r="M83" s="109"/>
      <c r="N83" s="109"/>
      <c r="O83" s="70" t="s">
        <v>106</v>
      </c>
    </row>
    <row r="84" spans="1:15" outlineLevel="1">
      <c r="A84" s="177" t="s">
        <v>16</v>
      </c>
      <c r="B84" s="178"/>
      <c r="C84" s="178"/>
      <c r="D84" s="178"/>
      <c r="E84" s="178"/>
      <c r="F84" s="178"/>
      <c r="G84" s="178"/>
      <c r="H84" s="178"/>
      <c r="I84" s="179"/>
      <c r="J84" s="97">
        <f t="shared" si="2"/>
        <v>0</v>
      </c>
      <c r="K84" s="109"/>
      <c r="L84" s="171"/>
      <c r="M84" s="109"/>
      <c r="N84" s="109"/>
      <c r="O84" s="70" t="s">
        <v>107</v>
      </c>
    </row>
    <row r="85" spans="1:15" outlineLevel="1">
      <c r="A85" s="177" t="s">
        <v>17</v>
      </c>
      <c r="B85" s="178"/>
      <c r="C85" s="178"/>
      <c r="D85" s="178"/>
      <c r="E85" s="178"/>
      <c r="F85" s="178"/>
      <c r="G85" s="178"/>
      <c r="H85" s="178"/>
      <c r="I85" s="179"/>
      <c r="J85" s="97">
        <f t="shared" si="2"/>
        <v>0</v>
      </c>
      <c r="K85" s="109"/>
      <c r="L85" s="171"/>
      <c r="M85" s="109"/>
      <c r="N85" s="109"/>
      <c r="O85" s="70" t="s">
        <v>108</v>
      </c>
    </row>
    <row r="86" spans="1:15" outlineLevel="1">
      <c r="A86" s="177" t="s">
        <v>18</v>
      </c>
      <c r="B86" s="178"/>
      <c r="C86" s="178"/>
      <c r="D86" s="178"/>
      <c r="E86" s="178"/>
      <c r="F86" s="178"/>
      <c r="G86" s="178"/>
      <c r="H86" s="178"/>
      <c r="I86" s="179"/>
      <c r="J86" s="97">
        <f t="shared" si="2"/>
        <v>60960.929999999993</v>
      </c>
      <c r="K86" s="109"/>
      <c r="L86" s="171"/>
      <c r="M86" s="109"/>
      <c r="N86" s="109"/>
      <c r="O86" s="70" t="s">
        <v>109</v>
      </c>
    </row>
    <row r="87" spans="1:15" ht="18.75" customHeight="1" outlineLevel="1">
      <c r="A87" s="177" t="s">
        <v>27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9"/>
      <c r="L87" s="171"/>
      <c r="M87" s="109"/>
      <c r="N87" s="109"/>
      <c r="O87" s="70" t="s">
        <v>110</v>
      </c>
    </row>
    <row r="88" spans="1:15" ht="18.75" customHeight="1" outlineLevel="1">
      <c r="A88" s="177" t="s">
        <v>28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9"/>
      <c r="L88" s="171"/>
      <c r="M88" s="109"/>
      <c r="N88" s="109"/>
      <c r="O88" s="70" t="s">
        <v>111</v>
      </c>
    </row>
    <row r="89" spans="1:15" ht="18.75" customHeight="1" outlineLevel="1">
      <c r="A89" s="177" t="s">
        <v>29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9"/>
      <c r="L89" s="171"/>
      <c r="M89" s="109"/>
      <c r="N89" s="109"/>
      <c r="O89" s="70" t="s">
        <v>112</v>
      </c>
    </row>
    <row r="90" spans="1:15" ht="18.75" customHeight="1" outlineLevel="1">
      <c r="A90" s="177" t="s">
        <v>30</v>
      </c>
      <c r="B90" s="178"/>
      <c r="C90" s="178"/>
      <c r="D90" s="178"/>
      <c r="E90" s="178"/>
      <c r="F90" s="178"/>
      <c r="G90" s="178"/>
      <c r="H90" s="178"/>
      <c r="I90" s="179"/>
      <c r="J90" s="97">
        <f t="shared" si="2"/>
        <v>0</v>
      </c>
      <c r="K90" s="109"/>
      <c r="L90" s="171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6" t="s">
        <v>48</v>
      </c>
      <c r="B93" s="186"/>
      <c r="C93" s="186"/>
      <c r="D93" s="187" t="s">
        <v>49</v>
      </c>
      <c r="E93" s="187"/>
      <c r="F93" s="10" t="s">
        <v>50</v>
      </c>
      <c r="G93" s="186" t="s">
        <v>51</v>
      </c>
      <c r="H93" s="186"/>
      <c r="I93" s="186"/>
      <c r="J93" s="186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9">
        <f>VLOOKUP("эл",АО,5,FALSE)</f>
        <v>294131.14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232692.8656035022</v>
      </c>
      <c r="L95" s="172"/>
      <c r="O95" s="1" t="s">
        <v>114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287320.13999999996</v>
      </c>
      <c r="L96" s="172"/>
      <c r="O96" s="1" t="s">
        <v>115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6811.0000000000582</v>
      </c>
      <c r="L97" s="172"/>
      <c r="O97" s="1" t="s">
        <v>116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294131.14</v>
      </c>
      <c r="L98" s="172"/>
      <c r="O98" s="1" t="s">
        <v>117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294131.14</v>
      </c>
      <c r="L99" s="172"/>
      <c r="O99" s="1" t="s">
        <v>118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119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120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50117.220000000008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3341.4777510938584</v>
      </c>
      <c r="L103" s="172"/>
      <c r="O103" s="1" t="s">
        <v>123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47513.11</v>
      </c>
      <c r="L104" s="172"/>
      <c r="O104" s="1" t="s">
        <v>124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2604.1100000000079</v>
      </c>
      <c r="L105" s="172"/>
      <c r="O105" s="1" t="s">
        <v>125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50117.220000000008</v>
      </c>
      <c r="L106" s="172"/>
      <c r="O106" s="1" t="s">
        <v>126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50117.220000000008</v>
      </c>
      <c r="L107" s="172"/>
      <c r="O107" s="1" t="s">
        <v>127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128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129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95217.05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5720.5989283104645</v>
      </c>
      <c r="L111" s="172"/>
      <c r="O111" s="1" t="s">
        <v>131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90988.61</v>
      </c>
      <c r="L112" s="172"/>
      <c r="O112" s="1" t="s">
        <v>132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4228.4400000000023</v>
      </c>
      <c r="L113" s="172"/>
      <c r="O113" s="1" t="s">
        <v>133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95217.05</v>
      </c>
      <c r="L114" s="172"/>
      <c r="O114" s="1" t="s">
        <v>134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95217.05</v>
      </c>
      <c r="L115" s="172"/>
      <c r="O115" s="1" t="s">
        <v>135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136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137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9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3">
        <f t="shared" ref="A127:A133" si="10">IF(VLOOKUP("гвс",АО,3,FALSE)&gt;0,VLOOKUP(O127,АО,2,FALSE),0)</f>
        <v>0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3">
        <f t="shared" si="10"/>
        <v>0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3">
        <f t="shared" si="10"/>
        <v>0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3">
        <f t="shared" si="10"/>
        <v>0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3">
        <f t="shared" si="10"/>
        <v>0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3">
        <f t="shared" si="10"/>
        <v>0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3">
        <f t="shared" si="10"/>
        <v>0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3" t="s">
        <v>45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171</v>
      </c>
    </row>
    <row r="145" spans="1:15" ht="18.75" customHeight="1" outlineLevel="1">
      <c r="A145" s="163" t="s">
        <v>46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3" t="s">
        <v>174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0</v>
      </c>
      <c r="O146" t="s">
        <v>173</v>
      </c>
    </row>
    <row r="149" spans="1:15" ht="52.5" customHeight="1">
      <c r="A149" s="188" t="s">
        <v>179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90" t="s">
        <v>198</v>
      </c>
      <c r="B154" s="190"/>
      <c r="C154" s="190"/>
      <c r="D154" s="190"/>
      <c r="E154" s="27">
        <f>ПТО!G1</f>
        <v>-234897.51</v>
      </c>
    </row>
    <row r="155" spans="1:15" ht="34.5" customHeight="1">
      <c r="A155" s="189" t="s">
        <v>197</v>
      </c>
      <c r="B155" s="189"/>
      <c r="C155" s="189"/>
      <c r="D155" s="189"/>
      <c r="E155" s="28">
        <f>J13</f>
        <v>136004.4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19</v>
      </c>
      <c r="B157" s="173"/>
      <c r="C157" s="173"/>
      <c r="D157" s="173"/>
      <c r="E157" s="173"/>
      <c r="F157" s="173" t="s">
        <v>20</v>
      </c>
      <c r="G157" s="173"/>
      <c r="H157" s="20" t="s">
        <v>57</v>
      </c>
      <c r="I157" s="173" t="s">
        <v>21</v>
      </c>
      <c r="J157" s="173"/>
    </row>
    <row r="158" spans="1:15" ht="29.25" customHeight="1">
      <c r="A158" s="165" t="str">
        <f t="shared" ref="A158:A163" si="14">IF(N158&gt;0,N158,0)</f>
        <v>Техническое освидетельствование лифта.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4100</v>
      </c>
      <c r="G158" s="170"/>
      <c r="H158" s="24" t="str">
        <f t="shared" ref="H158:H187" si="16">VLOOKUP(A158,$A$28:$J$72,8,FALSE)</f>
        <v>ежегодно</v>
      </c>
      <c r="I158" s="166">
        <f t="shared" ref="I158:I161" si="17">VLOOKUP(A158,$A$28:$J$72,9,FALSE)</f>
        <v>1</v>
      </c>
      <c r="J158" s="16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5" t="str">
        <f t="shared" si="14"/>
        <v>Техническое обслуживание охранной сигнализации.</v>
      </c>
      <c r="B159" s="165"/>
      <c r="C159" s="165"/>
      <c r="D159" s="165"/>
      <c r="E159" s="165"/>
      <c r="F159" s="170">
        <f t="shared" si="15"/>
        <v>4000</v>
      </c>
      <c r="G159" s="170"/>
      <c r="H159" s="24" t="str">
        <f t="shared" si="16"/>
        <v>ежемесячно</v>
      </c>
      <c r="I159" s="166">
        <f t="shared" si="17"/>
        <v>12</v>
      </c>
      <c r="J159" s="16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5" t="str">
        <f t="shared" si="14"/>
        <v>Механизированная уборка и вывоз снега с придомовой территории.</v>
      </c>
      <c r="B160" s="165"/>
      <c r="C160" s="165"/>
      <c r="D160" s="165"/>
      <c r="E160" s="165"/>
      <c r="F160" s="170">
        <f t="shared" si="15"/>
        <v>6510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5" t="str">
        <f>IF(N161&gt;0,N161,0)</f>
        <v>Замена башмаков направляющей кабины лифта (8 шт.).</v>
      </c>
      <c r="B161" s="165"/>
      <c r="C161" s="165"/>
      <c r="D161" s="165"/>
      <c r="E161" s="165"/>
      <c r="F161" s="170">
        <f t="shared" si="15"/>
        <v>9140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72</v>
      </c>
      <c r="N161" s="1" t="str">
        <v>Замена башмаков направляющей кабины лифта (8 шт.).</v>
      </c>
    </row>
    <row r="162" spans="1:14" ht="28.5" customHeight="1">
      <c r="A162" s="165" t="str">
        <f t="shared" si="14"/>
        <v>Благоустройство придомовой территории (приобретение перегноя и рассады).</v>
      </c>
      <c r="B162" s="165"/>
      <c r="C162" s="165"/>
      <c r="D162" s="165"/>
      <c r="E162" s="165"/>
      <c r="F162" s="170">
        <f t="shared" si="15"/>
        <v>13250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72</v>
      </c>
      <c r="N162" s="1" t="str">
        <v>Благоустройство придомовой территории (приобретение перегноя и рассады).</v>
      </c>
    </row>
    <row r="163" spans="1:14" ht="28.5" customHeight="1">
      <c r="A163" s="165" t="str">
        <f t="shared" si="14"/>
        <v>Приобретение и замена обратного клапана в ИТП.</v>
      </c>
      <c r="B163" s="165"/>
      <c r="C163" s="165"/>
      <c r="D163" s="165"/>
      <c r="E163" s="165"/>
      <c r="F163" s="170">
        <f t="shared" si="15"/>
        <v>1799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72</v>
      </c>
      <c r="N163" s="1" t="str">
        <v>Приобретение и замена обратного клапана в ИТП.</v>
      </c>
    </row>
    <row r="164" spans="1:14" ht="28.5" customHeight="1">
      <c r="A164" s="165" t="str">
        <f t="shared" ref="A164:A187" si="18">IF(N164&gt;0,N164,0)</f>
        <v>Замена блока питания в ИТП.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4260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72</v>
      </c>
      <c r="N164" s="1" t="str">
        <v>Замена блока питания в ИТП.</v>
      </c>
    </row>
    <row r="165" spans="1:14" ht="28.5" customHeight="1">
      <c r="A165" s="165" t="str">
        <f t="shared" si="18"/>
        <v>Приобретение и монтаж светильников в лифт (4 шт.).</v>
      </c>
      <c r="B165" s="165"/>
      <c r="C165" s="165"/>
      <c r="D165" s="165"/>
      <c r="E165" s="165"/>
      <c r="F165" s="170">
        <f t="shared" si="19"/>
        <v>3920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72</v>
      </c>
      <c r="N165" s="1" t="str">
        <v>Приобретение и монтаж светильников в лифт (4 шт.).</v>
      </c>
    </row>
    <row r="166" spans="1:14" ht="28.5" customHeight="1">
      <c r="A166" s="165" t="str">
        <f t="shared" si="18"/>
        <v>Замена кнопок вызова для пассажирского лифта.</v>
      </c>
      <c r="B166" s="165"/>
      <c r="C166" s="165"/>
      <c r="D166" s="165"/>
      <c r="E166" s="165"/>
      <c r="F166" s="170">
        <f t="shared" si="19"/>
        <v>3360</v>
      </c>
      <c r="G166" s="170"/>
      <c r="H166" s="29" t="str">
        <f t="shared" si="16"/>
        <v>разово</v>
      </c>
      <c r="I166" s="166">
        <f t="shared" si="20"/>
        <v>1</v>
      </c>
      <c r="J166" s="166"/>
      <c r="M166" s="22" t="s">
        <v>72</v>
      </c>
      <c r="N166" s="1" t="str">
        <v>Замена кнопок вызова для пассажирского лифта.</v>
      </c>
    </row>
    <row r="167" spans="1:14" ht="28.5" customHeight="1">
      <c r="A167" s="165" t="str">
        <f t="shared" si="18"/>
        <v>Приобретение и установка светильника в лифт.</v>
      </c>
      <c r="B167" s="165"/>
      <c r="C167" s="165"/>
      <c r="D167" s="165"/>
      <c r="E167" s="165"/>
      <c r="F167" s="170">
        <f t="shared" si="19"/>
        <v>980</v>
      </c>
      <c r="G167" s="170"/>
      <c r="H167" s="29" t="str">
        <f t="shared" si="16"/>
        <v>разово</v>
      </c>
      <c r="I167" s="166">
        <f t="shared" si="20"/>
        <v>1</v>
      </c>
      <c r="J167" s="166"/>
      <c r="M167" s="22" t="s">
        <v>72</v>
      </c>
      <c r="N167" s="1" t="str">
        <v>Приобретение и установка светильника в лифт.</v>
      </c>
    </row>
    <row r="168" spans="1:14" ht="28.5" customHeight="1">
      <c r="A168" s="165" t="str">
        <f t="shared" si="18"/>
        <v>Замена погодоведомого контроллера.</v>
      </c>
      <c r="B168" s="165"/>
      <c r="C168" s="165"/>
      <c r="D168" s="165"/>
      <c r="E168" s="165"/>
      <c r="F168" s="170">
        <f t="shared" si="19"/>
        <v>8544</v>
      </c>
      <c r="G168" s="170"/>
      <c r="H168" s="29" t="str">
        <f t="shared" si="16"/>
        <v>разово</v>
      </c>
      <c r="I168" s="166">
        <f t="shared" si="20"/>
        <v>1</v>
      </c>
      <c r="J168" s="166"/>
      <c r="M168" s="22" t="s">
        <v>72</v>
      </c>
      <c r="N168" s="1" t="str">
        <v>Замена погодоведомого контроллера.</v>
      </c>
    </row>
    <row r="169" spans="1:14" ht="28.5" hidden="1" customHeight="1">
      <c r="A169" s="165">
        <f t="shared" si="18"/>
        <v>0</v>
      </c>
      <c r="B169" s="165"/>
      <c r="C169" s="165"/>
      <c r="D169" s="165"/>
      <c r="E169" s="165"/>
      <c r="F169" s="170">
        <f t="shared" si="19"/>
        <v>0</v>
      </c>
      <c r="G169" s="170"/>
      <c r="H169" s="29" t="e">
        <f t="shared" si="16"/>
        <v>#N/A</v>
      </c>
      <c r="I169" s="166" t="e">
        <f t="shared" si="20"/>
        <v>#N/A</v>
      </c>
      <c r="J169" s="166"/>
      <c r="M169" s="22" t="s">
        <v>72</v>
      </c>
      <c r="N169" s="1">
        <v>0</v>
      </c>
    </row>
    <row r="170" spans="1:14" ht="28.5" hidden="1" customHeight="1">
      <c r="A170" s="165">
        <f t="shared" si="18"/>
        <v>0</v>
      </c>
      <c r="B170" s="165"/>
      <c r="C170" s="165"/>
      <c r="D170" s="165"/>
      <c r="E170" s="165"/>
      <c r="F170" s="170">
        <f t="shared" si="19"/>
        <v>0</v>
      </c>
      <c r="G170" s="170"/>
      <c r="H170" s="29" t="e">
        <f t="shared" si="16"/>
        <v>#N/A</v>
      </c>
      <c r="I170" s="166" t="e">
        <f t="shared" si="20"/>
        <v>#N/A</v>
      </c>
      <c r="J170" s="166"/>
      <c r="M170" s="22" t="s">
        <v>72</v>
      </c>
      <c r="N170" s="1">
        <v>0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70">
        <f t="shared" si="19"/>
        <v>0</v>
      </c>
      <c r="G171" s="170"/>
      <c r="H171" s="29" t="e">
        <f t="shared" si="16"/>
        <v>#N/A</v>
      </c>
      <c r="I171" s="166" t="e">
        <f t="shared" si="20"/>
        <v>#N/A</v>
      </c>
      <c r="J171" s="166"/>
      <c r="M171" s="22" t="s">
        <v>72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70">
        <f t="shared" si="19"/>
        <v>0</v>
      </c>
      <c r="G172" s="170"/>
      <c r="H172" s="29" t="e">
        <f t="shared" si="16"/>
        <v>#N/A</v>
      </c>
      <c r="I172" s="166" t="e">
        <f t="shared" si="20"/>
        <v>#N/A</v>
      </c>
      <c r="J172" s="166"/>
      <c r="M172" s="22" t="s">
        <v>72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70">
        <f t="shared" si="19"/>
        <v>0</v>
      </c>
      <c r="G173" s="170"/>
      <c r="H173" s="29" t="e">
        <f t="shared" si="16"/>
        <v>#N/A</v>
      </c>
      <c r="I173" s="166" t="e">
        <f t="shared" si="20"/>
        <v>#N/A</v>
      </c>
      <c r="J173" s="166"/>
      <c r="M173" s="22" t="s">
        <v>72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70">
        <f t="shared" si="19"/>
        <v>0</v>
      </c>
      <c r="G174" s="170"/>
      <c r="H174" s="29" t="e">
        <f t="shared" si="16"/>
        <v>#N/A</v>
      </c>
      <c r="I174" s="166" t="e">
        <f t="shared" si="20"/>
        <v>#N/A</v>
      </c>
      <c r="J174" s="166"/>
      <c r="M174" s="22" t="s">
        <v>72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70">
        <f t="shared" si="19"/>
        <v>0</v>
      </c>
      <c r="G175" s="170"/>
      <c r="H175" s="29" t="e">
        <f t="shared" si="16"/>
        <v>#N/A</v>
      </c>
      <c r="I175" s="166" t="e">
        <f t="shared" si="20"/>
        <v>#N/A</v>
      </c>
      <c r="J175" s="166"/>
      <c r="M175" s="22" t="s">
        <v>72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70">
        <f t="shared" si="19"/>
        <v>0</v>
      </c>
      <c r="G176" s="170"/>
      <c r="H176" s="29" t="e">
        <f t="shared" si="16"/>
        <v>#N/A</v>
      </c>
      <c r="I176" s="166" t="e">
        <f t="shared" si="20"/>
        <v>#N/A</v>
      </c>
      <c r="J176" s="166"/>
      <c r="M176" s="22" t="s">
        <v>72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70">
        <f t="shared" si="19"/>
        <v>0</v>
      </c>
      <c r="G177" s="170"/>
      <c r="H177" s="29" t="e">
        <f t="shared" si="16"/>
        <v>#N/A</v>
      </c>
      <c r="I177" s="166" t="e">
        <f t="shared" si="20"/>
        <v>#N/A</v>
      </c>
      <c r="J177" s="166"/>
      <c r="M177" s="22" t="s">
        <v>72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70">
        <f t="shared" si="19"/>
        <v>0</v>
      </c>
      <c r="G178" s="170"/>
      <c r="H178" s="29" t="e">
        <f t="shared" si="16"/>
        <v>#N/A</v>
      </c>
      <c r="I178" s="166" t="e">
        <f t="shared" si="20"/>
        <v>#N/A</v>
      </c>
      <c r="J178" s="166"/>
      <c r="M178" s="22" t="s">
        <v>72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70">
        <f t="shared" si="19"/>
        <v>0</v>
      </c>
      <c r="G179" s="170"/>
      <c r="H179" s="29" t="e">
        <f t="shared" si="16"/>
        <v>#N/A</v>
      </c>
      <c r="I179" s="166" t="e">
        <f t="shared" si="20"/>
        <v>#N/A</v>
      </c>
      <c r="J179" s="166"/>
      <c r="M179" s="22" t="s">
        <v>72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70">
        <f t="shared" si="19"/>
        <v>0</v>
      </c>
      <c r="G180" s="170"/>
      <c r="H180" s="29" t="e">
        <f t="shared" si="16"/>
        <v>#N/A</v>
      </c>
      <c r="I180" s="166" t="e">
        <f t="shared" si="20"/>
        <v>#N/A</v>
      </c>
      <c r="J180" s="166"/>
      <c r="M180" s="22" t="s">
        <v>72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70">
        <f t="shared" si="19"/>
        <v>0</v>
      </c>
      <c r="G181" s="170"/>
      <c r="H181" s="29" t="e">
        <f t="shared" si="16"/>
        <v>#N/A</v>
      </c>
      <c r="I181" s="166" t="e">
        <f t="shared" si="20"/>
        <v>#N/A</v>
      </c>
      <c r="J181" s="166"/>
      <c r="M181" s="22" t="s">
        <v>72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70">
        <f t="shared" si="19"/>
        <v>0</v>
      </c>
      <c r="G182" s="170"/>
      <c r="H182" s="29" t="e">
        <f t="shared" si="16"/>
        <v>#N/A</v>
      </c>
      <c r="I182" s="166" t="e">
        <f t="shared" si="20"/>
        <v>#N/A</v>
      </c>
      <c r="J182" s="166"/>
      <c r="M182" s="22" t="s">
        <v>72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70">
        <f t="shared" si="19"/>
        <v>0</v>
      </c>
      <c r="G183" s="170"/>
      <c r="H183" s="29" t="e">
        <f t="shared" si="16"/>
        <v>#N/A</v>
      </c>
      <c r="I183" s="166" t="e">
        <f t="shared" si="20"/>
        <v>#N/A</v>
      </c>
      <c r="J183" s="166"/>
      <c r="M183" s="22" t="s">
        <v>72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70">
        <f t="shared" si="19"/>
        <v>0</v>
      </c>
      <c r="G184" s="170"/>
      <c r="H184" s="29" t="e">
        <f t="shared" si="16"/>
        <v>#N/A</v>
      </c>
      <c r="I184" s="166" t="e">
        <f t="shared" si="20"/>
        <v>#N/A</v>
      </c>
      <c r="J184" s="166"/>
      <c r="M184" s="22" t="s">
        <v>72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72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72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90" t="s">
        <v>196</v>
      </c>
      <c r="B190" s="190"/>
      <c r="C190" s="190"/>
      <c r="D190" s="190"/>
      <c r="E190" s="27">
        <f>SUM(F158:G187)</f>
        <v>59863</v>
      </c>
    </row>
    <row r="191" spans="1:14" ht="51.75" customHeight="1">
      <c r="A191" s="190" t="s">
        <v>195</v>
      </c>
      <c r="B191" s="190"/>
      <c r="C191" s="190"/>
      <c r="D191" s="190"/>
      <c r="E191" s="27">
        <f>E190+E154-E155</f>
        <v>-311038.91000000003</v>
      </c>
    </row>
    <row r="192" spans="1:14">
      <c r="A192" s="104" t="s">
        <v>175</v>
      </c>
    </row>
    <row r="193" spans="1:10" ht="62.25" customHeight="1">
      <c r="A193" s="164" t="s">
        <v>194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75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49">
        <f>ПТО!G13</f>
        <v>4100</v>
      </c>
      <c r="I195" s="50" t="s">
        <v>75</v>
      </c>
    </row>
    <row r="196" spans="1:10" ht="18.75" customHeight="1">
      <c r="A196" s="162" t="str">
        <f>ПТО!F14</f>
        <v xml:space="preserve">  -  техническое обслуживание охранной сигнализации</v>
      </c>
      <c r="B196" s="162"/>
      <c r="C196" s="162"/>
      <c r="D196" s="162"/>
      <c r="E196" s="162"/>
      <c r="F196" s="162"/>
      <c r="G196" s="162"/>
      <c r="H196" s="49">
        <f>ПТО!G14</f>
        <v>4000</v>
      </c>
      <c r="I196" s="50" t="s">
        <v>75</v>
      </c>
    </row>
    <row r="197" spans="1:10" ht="18.75" customHeight="1">
      <c r="A197" s="162" t="str">
        <f>ПТО!F15</f>
        <v xml:space="preserve">  -  благоустройство придомовой территории</v>
      </c>
      <c r="B197" s="162"/>
      <c r="C197" s="162"/>
      <c r="D197" s="162"/>
      <c r="E197" s="162"/>
      <c r="F197" s="162"/>
      <c r="G197" s="162"/>
      <c r="H197" s="49">
        <f>ПТО!G15</f>
        <v>5000</v>
      </c>
      <c r="I197" s="50" t="s">
        <v>75</v>
      </c>
    </row>
    <row r="198" spans="1:10" ht="18.75" customHeight="1">
      <c r="A198" s="162" t="str">
        <f>ПТО!F16</f>
        <v xml:space="preserve">  -  замена дефлектора </v>
      </c>
      <c r="B198" s="162"/>
      <c r="C198" s="162"/>
      <c r="D198" s="162"/>
      <c r="E198" s="162"/>
      <c r="F198" s="162"/>
      <c r="G198" s="162"/>
      <c r="H198" s="49">
        <f>ПТО!G16</f>
        <v>25000</v>
      </c>
      <c r="I198" s="52" t="s">
        <v>75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49">
        <f>ПТО!G17</f>
        <v>0</v>
      </c>
      <c r="I199" s="50" t="s">
        <v>75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49">
        <f>ПТО!G18</f>
        <v>0</v>
      </c>
      <c r="I200" s="50" t="s">
        <v>75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9">
        <f>ПТО!G19</f>
        <v>0</v>
      </c>
      <c r="I201" s="50" t="s">
        <v>75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9">
        <f>ПТО!G20</f>
        <v>0</v>
      </c>
      <c r="I202" s="50" t="s">
        <v>75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75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75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75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75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75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75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75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75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75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75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39300</v>
      </c>
      <c r="I214" s="56" t="s">
        <v>78</v>
      </c>
    </row>
  </sheetData>
  <sheetProtection algorithmName="SHA-512" hashValue="kFXmNH+Lfhzi9ZphN4ThXVqSj+2MY5Z8xh95ew5040l+Iz7EATqnbtZ1B9OnQSUtJhYjUNhoTGVODY2jBXM/NQ==" saltValue="HkwZ7xu6MzLBtGiJT6j7O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65" sqref="C6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198</v>
      </c>
      <c r="G1" s="101">
        <f>-234897.51</f>
        <v>-234897.51</v>
      </c>
    </row>
    <row r="2" spans="1:12" ht="18.75" customHeight="1">
      <c r="A2" s="152" t="s">
        <v>73</v>
      </c>
      <c r="B2" s="153" t="s">
        <v>180</v>
      </c>
      <c r="C2" s="153">
        <v>1</v>
      </c>
      <c r="D2" s="154">
        <v>4100</v>
      </c>
      <c r="E2" s="122" t="s">
        <v>216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5" t="s">
        <v>185</v>
      </c>
      <c r="B3" s="156" t="s">
        <v>183</v>
      </c>
      <c r="C3" s="156">
        <v>12</v>
      </c>
      <c r="D3" s="157">
        <v>4000</v>
      </c>
      <c r="E3" s="158" t="s">
        <v>217</v>
      </c>
      <c r="F3" s="30"/>
      <c r="G3" s="30"/>
      <c r="L3" s="33" t="str">
        <f t="shared" si="0"/>
        <v>ТР</v>
      </c>
    </row>
    <row r="4" spans="1:12" ht="18.75" customHeight="1">
      <c r="A4" s="129" t="s">
        <v>199</v>
      </c>
      <c r="B4" s="130" t="s">
        <v>186</v>
      </c>
      <c r="C4" s="131">
        <v>1</v>
      </c>
      <c r="D4" s="132">
        <v>6510</v>
      </c>
      <c r="E4" s="133" t="s">
        <v>200</v>
      </c>
      <c r="F4" s="30"/>
      <c r="G4" s="30"/>
      <c r="L4" s="33" t="str">
        <f t="shared" si="0"/>
        <v>ТР</v>
      </c>
    </row>
    <row r="5" spans="1:12" ht="18.75" customHeight="1">
      <c r="A5" s="134" t="s">
        <v>201</v>
      </c>
      <c r="B5" s="135" t="s">
        <v>186</v>
      </c>
      <c r="C5" s="117">
        <v>1</v>
      </c>
      <c r="D5" s="118">
        <v>9140</v>
      </c>
      <c r="E5" s="123" t="s">
        <v>203</v>
      </c>
      <c r="F5" s="44"/>
      <c r="G5" s="44"/>
      <c r="K5" s="46"/>
      <c r="L5" s="33" t="str">
        <f t="shared" si="0"/>
        <v>ТР</v>
      </c>
    </row>
    <row r="6" spans="1:12" ht="32.25" customHeight="1">
      <c r="A6" s="136" t="s">
        <v>202</v>
      </c>
      <c r="B6" s="137" t="s">
        <v>186</v>
      </c>
      <c r="C6" s="117">
        <v>1</v>
      </c>
      <c r="D6" s="118">
        <v>13250</v>
      </c>
      <c r="E6" s="123" t="s">
        <v>204</v>
      </c>
      <c r="F6" s="44"/>
      <c r="G6" s="44"/>
      <c r="K6" s="46"/>
      <c r="L6" s="33" t="str">
        <f t="shared" si="0"/>
        <v>ТР</v>
      </c>
    </row>
    <row r="7" spans="1:12" ht="27.75" customHeight="1">
      <c r="A7" s="161" t="s">
        <v>219</v>
      </c>
      <c r="B7" s="138" t="s">
        <v>186</v>
      </c>
      <c r="C7" s="138">
        <v>1</v>
      </c>
      <c r="D7" s="119">
        <v>1799</v>
      </c>
      <c r="E7" s="139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206</v>
      </c>
      <c r="B8" s="141" t="s">
        <v>186</v>
      </c>
      <c r="C8" s="142">
        <v>1</v>
      </c>
      <c r="D8" s="46">
        <v>4260</v>
      </c>
      <c r="E8" s="143" t="s">
        <v>207</v>
      </c>
      <c r="F8" s="45"/>
      <c r="G8" s="45"/>
      <c r="K8" s="43"/>
      <c r="L8" s="33" t="str">
        <f t="shared" si="0"/>
        <v>ТР</v>
      </c>
    </row>
    <row r="9" spans="1:12">
      <c r="A9" s="144" t="s">
        <v>208</v>
      </c>
      <c r="B9" s="145" t="s">
        <v>186</v>
      </c>
      <c r="C9" s="117">
        <v>1</v>
      </c>
      <c r="D9" s="46">
        <v>3920</v>
      </c>
      <c r="E9" s="122" t="s">
        <v>209</v>
      </c>
      <c r="F9" s="44"/>
      <c r="G9" s="44"/>
      <c r="K9" s="43"/>
      <c r="L9" s="33" t="str">
        <f t="shared" si="0"/>
        <v>ТР</v>
      </c>
    </row>
    <row r="10" spans="1:12">
      <c r="A10" s="148" t="s">
        <v>211</v>
      </c>
      <c r="B10" s="146" t="s">
        <v>186</v>
      </c>
      <c r="C10" s="147">
        <v>1</v>
      </c>
      <c r="D10" s="119">
        <v>3360</v>
      </c>
      <c r="E10" s="122" t="s">
        <v>212</v>
      </c>
      <c r="L10" s="33" t="str">
        <f t="shared" si="0"/>
        <v>ТР</v>
      </c>
    </row>
    <row r="11" spans="1:12" ht="94.5">
      <c r="A11" s="149" t="s">
        <v>214</v>
      </c>
      <c r="B11" s="146" t="s">
        <v>186</v>
      </c>
      <c r="C11" s="147">
        <v>1</v>
      </c>
      <c r="D11" s="119">
        <v>980</v>
      </c>
      <c r="E11" s="122" t="s">
        <v>213</v>
      </c>
      <c r="F11" s="111" t="s">
        <v>194</v>
      </c>
      <c r="G11" s="111"/>
      <c r="L11" s="33" t="str">
        <f t="shared" si="0"/>
        <v>ТР</v>
      </c>
    </row>
    <row r="12" spans="1:12" ht="31.5">
      <c r="A12" s="151" t="s">
        <v>210</v>
      </c>
      <c r="B12" s="146" t="s">
        <v>186</v>
      </c>
      <c r="C12" s="147">
        <v>1</v>
      </c>
      <c r="D12" s="119">
        <v>8544</v>
      </c>
      <c r="E12" s="122" t="s">
        <v>215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184</v>
      </c>
      <c r="G14" s="113">
        <v>4000</v>
      </c>
      <c r="L14" s="33">
        <f t="shared" si="0"/>
        <v>0</v>
      </c>
    </row>
    <row r="15" spans="1:12" ht="31.5">
      <c r="A15" s="30"/>
      <c r="F15" s="124" t="s">
        <v>182</v>
      </c>
      <c r="G15" s="121">
        <v>5000</v>
      </c>
      <c r="L15" s="33">
        <f t="shared" si="0"/>
        <v>0</v>
      </c>
    </row>
    <row r="16" spans="1:12" ht="15.75">
      <c r="A16" s="30"/>
      <c r="F16" s="159" t="s">
        <v>218</v>
      </c>
      <c r="G16" s="160">
        <v>25000</v>
      </c>
      <c r="L16" s="33">
        <f t="shared" si="0"/>
        <v>0</v>
      </c>
    </row>
    <row r="17" spans="1:12" ht="15.75">
      <c r="A17" s="30"/>
      <c r="F17" s="124"/>
      <c r="G17" s="121"/>
      <c r="L17" s="33">
        <f t="shared" si="0"/>
        <v>0</v>
      </c>
    </row>
    <row r="18" spans="1:12" ht="15.75">
      <c r="A18" s="30"/>
      <c r="F18" s="120"/>
      <c r="G18" s="121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130109.4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130109.4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53859.24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53859.24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8">
        <v>42966.36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42966.36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36309.599999999999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36309.599999999999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11800.68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11800.68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54464.4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54464.4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120729.48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120729.48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48"/>
      <c r="E47" s="125">
        <v>745.3</v>
      </c>
      <c r="F47" s="125">
        <v>416.7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7" t="s">
        <v>187</v>
      </c>
      <c r="F52" s="127" t="s">
        <v>188</v>
      </c>
      <c r="G52" s="127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7">
        <v>35.896999999999998</v>
      </c>
      <c r="F53" s="125">
        <v>2521.5</v>
      </c>
      <c r="G53" s="127">
        <v>3.48</v>
      </c>
      <c r="H53" s="127">
        <f>G53*E47/F53</f>
        <v>1.0286115407495537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7"/>
      <c r="F54" s="127" t="s">
        <v>190</v>
      </c>
      <c r="G54" s="127" t="s">
        <v>191</v>
      </c>
      <c r="H54" s="127">
        <f>H53*43.4</f>
        <v>44.641740868530633</v>
      </c>
    </row>
    <row r="55" spans="5:16">
      <c r="E55" s="127"/>
      <c r="F55" s="127">
        <v>1.17</v>
      </c>
      <c r="G55" s="127">
        <v>1.23</v>
      </c>
      <c r="H55" s="127"/>
    </row>
    <row r="56" spans="5:16">
      <c r="E56" s="127"/>
      <c r="F56" s="127"/>
      <c r="G56" s="127"/>
      <c r="H56" s="127"/>
    </row>
    <row r="57" spans="5:16">
      <c r="E57" s="127"/>
      <c r="F57" s="127"/>
      <c r="G57" s="127"/>
      <c r="H57" s="127"/>
    </row>
    <row r="58" spans="5:16">
      <c r="E58" s="127" t="s">
        <v>192</v>
      </c>
      <c r="F58" s="127"/>
      <c r="G58" s="127"/>
      <c r="H58" s="127"/>
    </row>
    <row r="59" spans="5:16">
      <c r="E59" s="127">
        <v>0.59599999999999997</v>
      </c>
      <c r="F59" s="125">
        <v>2521.5</v>
      </c>
      <c r="G59" s="127">
        <v>7.4999999999999997E-2</v>
      </c>
      <c r="H59" s="127">
        <f>G59*F47</f>
        <v>31.252499999999998</v>
      </c>
    </row>
    <row r="60" spans="5:16">
      <c r="E60" s="127"/>
      <c r="F60" s="127" t="s">
        <v>190</v>
      </c>
      <c r="G60" s="127" t="s">
        <v>191</v>
      </c>
      <c r="H60" s="127">
        <f>H59/F59</f>
        <v>1.2394408090422367E-2</v>
      </c>
    </row>
    <row r="61" spans="5:16">
      <c r="E61" s="127"/>
      <c r="F61" s="127">
        <v>12.94</v>
      </c>
      <c r="G61" s="127">
        <v>13.45</v>
      </c>
      <c r="H61" s="127">
        <f>H60*43.4</f>
        <v>0.53791731112433072</v>
      </c>
    </row>
    <row r="62" spans="5:16">
      <c r="E62" s="127" t="s">
        <v>193</v>
      </c>
      <c r="F62" s="127"/>
      <c r="G62" s="127"/>
      <c r="H62" s="127"/>
    </row>
    <row r="63" spans="5:16">
      <c r="E63" s="127">
        <v>0.59599999999999997</v>
      </c>
      <c r="F63" s="125">
        <v>2521.5</v>
      </c>
      <c r="G63" s="127">
        <v>7.4999999999999997E-2</v>
      </c>
      <c r="H63" s="127">
        <f>G63*F47</f>
        <v>31.252499999999998</v>
      </c>
    </row>
    <row r="64" spans="5:16">
      <c r="E64" s="127"/>
      <c r="F64" s="127" t="s">
        <v>190</v>
      </c>
      <c r="G64" s="127" t="s">
        <v>191</v>
      </c>
      <c r="H64" s="127">
        <f>H63/F63</f>
        <v>1.2394408090422367E-2</v>
      </c>
    </row>
    <row r="65" spans="4:13" ht="18.75" customHeight="1">
      <c r="E65" s="127"/>
      <c r="F65" s="127">
        <v>15.73</v>
      </c>
      <c r="G65" s="127">
        <v>16.350000000000001</v>
      </c>
      <c r="H65" s="127">
        <f>H64*43.4</f>
        <v>0.53791731112433072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AvqY6vC2+keoT99Sicn1jegdFoCLJWQTk0hq/P0lzRtm4RlpCuDjqdDLGYagcH6WiKsFM0e6swqw4/0mkP3Miw==" saltValue="0/HmrEmwxs6QerJamKqyt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2518.6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158291.41000000003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585725.61600000004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14.88*12*F1</f>
        <v>449721.21600000001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136004.4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560814.41999999993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560814.41999999993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560814.41999999993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183202.60600000015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3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3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3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3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2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2"/>
      <c r="N26" s="63"/>
    </row>
    <row r="27" spans="1:15" ht="18.75" customHeight="1">
      <c r="A27" s="70" t="s">
        <v>106</v>
      </c>
      <c r="B27" s="75" t="s">
        <v>4</v>
      </c>
      <c r="C27" s="86">
        <v>47317.38</v>
      </c>
      <c r="D27" s="81" t="s">
        <v>60</v>
      </c>
      <c r="E27" s="64"/>
      <c r="F27" s="64"/>
      <c r="G27" s="64"/>
      <c r="H27" s="64"/>
      <c r="I27" s="64"/>
      <c r="J27" s="64"/>
      <c r="M27" s="192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2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2"/>
      <c r="N29" s="63"/>
    </row>
    <row r="30" spans="1:15" ht="18.75" customHeight="1">
      <c r="A30" s="70" t="s">
        <v>109</v>
      </c>
      <c r="B30" s="75" t="s">
        <v>18</v>
      </c>
      <c r="C30" s="86">
        <f>C27+13643.55</f>
        <v>60960.929999999993</v>
      </c>
      <c r="D30" s="81" t="s">
        <v>66</v>
      </c>
      <c r="E30" s="64"/>
      <c r="F30" s="64"/>
      <c r="G30" s="64"/>
      <c r="H30" s="64"/>
      <c r="I30" s="64"/>
      <c r="J30" s="64"/>
      <c r="M30" s="192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2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2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2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2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294131.14</v>
      </c>
      <c r="F37" s="94" t="s">
        <v>168</v>
      </c>
      <c r="G37" s="66"/>
      <c r="H37" s="66"/>
      <c r="I37" s="66"/>
      <c r="L37" s="63"/>
      <c r="M37" s="191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232692.8656035022</v>
      </c>
      <c r="D38" s="94" t="s">
        <v>166</v>
      </c>
      <c r="E38" s="68"/>
      <c r="G38" s="67"/>
      <c r="H38" s="67"/>
      <c r="L38" s="63"/>
      <c r="M38" s="191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287320.13999999996</v>
      </c>
      <c r="D39" s="94" t="s">
        <v>167</v>
      </c>
      <c r="E39" s="150"/>
      <c r="G39" s="67"/>
      <c r="H39" s="67"/>
      <c r="L39" s="63"/>
      <c r="M39" s="191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6811.0000000000582</v>
      </c>
      <c r="D40" s="80" t="s">
        <v>59</v>
      </c>
      <c r="E40" s="150"/>
      <c r="G40" s="67"/>
      <c r="H40" s="67"/>
      <c r="L40" s="63"/>
      <c r="M40" s="191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294131.14</v>
      </c>
      <c r="D41" s="80" t="s">
        <v>59</v>
      </c>
      <c r="E41" s="150"/>
      <c r="G41" s="67"/>
      <c r="H41" s="67"/>
      <c r="L41" s="63"/>
      <c r="M41" s="191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294131.14</v>
      </c>
      <c r="D42" s="80" t="s">
        <v>59</v>
      </c>
      <c r="E42" s="68"/>
      <c r="G42" s="67"/>
      <c r="H42" s="67"/>
      <c r="L42" s="63"/>
      <c r="M42" s="191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1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1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50117.220000000008</v>
      </c>
      <c r="F45" s="94" t="s">
        <v>168</v>
      </c>
      <c r="G45" s="66"/>
      <c r="H45" s="66"/>
      <c r="L45" s="63"/>
      <c r="M45" s="191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3341.4777510938584</v>
      </c>
      <c r="D46" s="94" t="s">
        <v>169</v>
      </c>
      <c r="E46" s="68"/>
      <c r="G46" s="67"/>
      <c r="H46" s="67"/>
      <c r="L46" s="63"/>
      <c r="M46" s="191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47513.11</v>
      </c>
      <c r="D47" s="94" t="s">
        <v>167</v>
      </c>
      <c r="E47" s="68"/>
      <c r="G47" s="67"/>
      <c r="H47" s="67"/>
      <c r="L47" s="63"/>
      <c r="M47" s="191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2604.1100000000079</v>
      </c>
      <c r="D48" s="80" t="s">
        <v>59</v>
      </c>
      <c r="E48" s="68"/>
      <c r="G48" s="67"/>
      <c r="H48" s="67"/>
      <c r="L48" s="63"/>
      <c r="M48" s="191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50117.220000000008</v>
      </c>
      <c r="D49" s="80" t="s">
        <v>59</v>
      </c>
      <c r="E49" s="68"/>
      <c r="G49" s="67"/>
      <c r="H49" s="67"/>
      <c r="L49" s="63"/>
      <c r="M49" s="191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50117.220000000008</v>
      </c>
      <c r="D50" s="80" t="s">
        <v>59</v>
      </c>
      <c r="E50" s="68"/>
      <c r="G50" s="67"/>
      <c r="H50" s="67"/>
      <c r="L50" s="63"/>
      <c r="M50" s="191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1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1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95217.05</v>
      </c>
      <c r="F53" s="94" t="s">
        <v>168</v>
      </c>
      <c r="G53" s="66"/>
      <c r="H53" s="66"/>
      <c r="L53" s="63"/>
      <c r="M53" s="191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5720.5989283104645</v>
      </c>
      <c r="D54" s="94" t="s">
        <v>169</v>
      </c>
      <c r="E54" s="69"/>
      <c r="F54" s="89"/>
      <c r="G54" s="64"/>
      <c r="H54" s="64"/>
      <c r="L54" s="63"/>
      <c r="M54" s="191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90988.61</v>
      </c>
      <c r="D55" s="94" t="s">
        <v>167</v>
      </c>
      <c r="E55" s="69"/>
      <c r="G55" s="64"/>
      <c r="H55" s="64"/>
      <c r="L55" s="63"/>
      <c r="M55" s="191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4228.4400000000023</v>
      </c>
      <c r="D56" s="80" t="s">
        <v>59</v>
      </c>
      <c r="E56" s="69"/>
      <c r="G56" s="64"/>
      <c r="H56" s="64"/>
      <c r="L56" s="63"/>
      <c r="M56" s="191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95217.05</v>
      </c>
      <c r="D57" s="80" t="s">
        <v>59</v>
      </c>
      <c r="E57" s="69"/>
      <c r="G57" s="64"/>
      <c r="H57" s="64"/>
      <c r="L57" s="63"/>
      <c r="M57" s="191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95217.05</v>
      </c>
      <c r="D58" s="80" t="s">
        <v>59</v>
      </c>
      <c r="E58" s="69"/>
      <c r="G58" s="64"/>
      <c r="H58" s="64"/>
      <c r="L58" s="63"/>
      <c r="M58" s="191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1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1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2023-03-30T08:31:26Z</dcterms:modified>
</cp:coreProperties>
</file>