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4" i="1"/>
  <c r="G102" i="1"/>
  <c r="D102" i="1"/>
  <c r="J101" i="1"/>
  <c r="J96" i="1"/>
  <c r="J95" i="1"/>
  <c r="G94" i="1"/>
  <c r="K94" i="1"/>
  <c r="A114" i="1" l="1"/>
  <c r="A109" i="1"/>
  <c r="A115" i="1"/>
  <c r="A110" i="1"/>
  <c r="A119" i="1"/>
  <c r="A111" i="1"/>
  <c r="F102" i="1"/>
  <c r="A108" i="1"/>
  <c r="A105" i="1"/>
  <c r="A96" i="1"/>
  <c r="F134" i="1"/>
  <c r="A122" i="1"/>
  <c r="A141" i="1"/>
  <c r="A118" i="1"/>
  <c r="A123" i="1"/>
  <c r="A137" i="1"/>
  <c r="D118" i="1"/>
  <c r="A120" i="1"/>
  <c r="A124" i="1"/>
  <c r="F118" i="1"/>
  <c r="A121" i="1"/>
  <c r="A94" i="1"/>
  <c r="D94" i="1"/>
  <c r="A98" i="1"/>
  <c r="A99" i="1"/>
  <c r="A95" i="1"/>
  <c r="A100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F184" i="1"/>
  <c r="H168" i="1"/>
  <c r="H184" i="1"/>
  <c r="H178" i="1"/>
  <c r="F178" i="1"/>
  <c r="H176" i="1"/>
  <c r="F176" i="1"/>
  <c r="H175" i="1"/>
  <c r="F173" i="1"/>
  <c r="F172" i="1"/>
  <c r="H172" i="1"/>
  <c r="F168" i="1"/>
  <c r="H187" i="1"/>
  <c r="F179" i="1"/>
  <c r="F170" i="1"/>
  <c r="F167" i="1"/>
  <c r="H186" i="1"/>
  <c r="H167" i="1"/>
  <c r="H165" i="1"/>
  <c r="H170" i="1"/>
  <c r="F177" i="1"/>
  <c r="F165" i="1"/>
  <c r="F186" i="1"/>
  <c r="F175" i="1"/>
  <c r="F181" i="1"/>
  <c r="H164" i="1"/>
  <c r="F180" i="1"/>
  <c r="F187" i="1"/>
  <c r="H182" i="1"/>
  <c r="H166" i="1"/>
  <c r="F185" i="1"/>
  <c r="F164" i="1"/>
  <c r="H177" i="1"/>
  <c r="F182" i="1"/>
  <c r="H179" i="1"/>
  <c r="H169" i="1"/>
  <c r="F169" i="1"/>
  <c r="F171" i="1"/>
  <c r="H171" i="1"/>
  <c r="H185" i="1"/>
  <c r="H181" i="1"/>
  <c r="F166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<sst xmlns="http://schemas.openxmlformats.org/spreadsheetml/2006/main" count="547" uniqueCount="198">
  <si>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</si>
  <si>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</si>
  <si>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</si>
  <si>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</si>
  <si>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</si>
  <si>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</si>
  <si>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</si>
  <si>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</si>
  <si>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</si>
  <si>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</si>
  <si>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</si>
  <si>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</si>
  <si>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</si>
  <si>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</si>
  <si>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</si>
  <si>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</si>
  <si>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</si>
  <si>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</si>
  <si>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</si>
  <si>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</si>
  <si>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</si>
  <si>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</si>
  <si>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</si>
  <si>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</si>
  <si>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</si>
  <si>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</si>
  <si>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</si>
  <si>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</si>
  <si>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</si>
  <si>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</si>
  <si>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</si>
  <si>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</si>
  <si>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</si>
  <si>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</si>
  <si>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</si>
  <si>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</si>
  <si>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</si>
  <si>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</si>
  <si>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</si>
  <si>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</si>
  <si>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</si>
  <si>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</si>
  <si>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</si>
  <si>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</si>
  <si>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</si>
  <si>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</si>
  <si>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</si>
  <si>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</si>
  <si>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</si>
  <si>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</si>
  <si>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</si>
  <si>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</si>
  <si>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</si>
  <si>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</si>
  <si>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</si>
  <si>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</si>
  <si>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</si>
  <si>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</si>
  <si>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</si>
  <si>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</si>
  <si>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</si>
  <si>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</si>
  <si>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</si>
  <si>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</si>
  <si>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</si>
  <si>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</si>
  <si>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</si>
  <si>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</si>
  <si>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</si>
  <si>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</si>
  <si>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</si>
  <si>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</si>
  <si>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</si>
  <si>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</si>
  <si>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</si>
  <si>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</si>
  <si>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</si>
  <si>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</si>
  <si>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</si>
  <si>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</si>
  <si>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</si>
  <si>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</si>
  <si>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</si>
  <si>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</si>
  <si>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</si>
  <si>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</si>
  <si>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</si>
  <si>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</si>
  <si>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</si>
  <si>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</si>
  <si>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</si>
  <si>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</si>
  <si>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</si>
  <si>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</si>
  <si>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</si>
  <si>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</si>
  <si>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</si>
  <si>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</si>
  <si>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</si>
  <si>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</si>
  <si>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</si>
  <si>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</si>
  <si>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</si>
  <si>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</si>
  <si>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</si>
  <si>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</si>
  <si>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</si>
  <si>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</si>
  <si>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</si>
  <si>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</si>
  <si>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</si>
  <si>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</si>
  <si>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</si>
  <si>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</si>
  <si>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</si>
  <si>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</si>
  <si>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</si>
  <si>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</si>
  <si>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</si>
  <si>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</si>
  <si>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</si>
  <si>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</si>
  <si>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</si>
  <si>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</si>
  <si>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</si>
  <si>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</si>
  <si>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</si>
  <si>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</si>
  <si>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</si>
  <si>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</si>
  <si>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</si>
  <si>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</si>
  <si>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</si>
  <si>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</si>
  <si>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</si>
  <si>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</si>
  <si>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</si>
  <si>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</si>
  <si>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</si>
  <si>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</si>
  <si>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</si>
  <si>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</si>
  <si>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</si>
  <si>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</si>
  <si>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</si>
  <si>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</si>
  <si>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</si>
  <si>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</si>
  <si>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</si>
  <si>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</si>
  <si>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</si>
  <si>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</si>
  <si>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</si>
  <si>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</si>
  <si>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</si>
  <si>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</si>
  <si>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</si>
  <si>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</si>
  <si>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</si>
  <si>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</si>
  <si>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</si>
  <si>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</si>
  <si>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</si>
  <si>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</si>
  <si>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</si>
  <si>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</si>
  <si>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</si>
  <si>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</si>
  <si>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</si>
  <si>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</si>
  <si>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</si>
  <si>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</si>
  <si>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</si>
  <si>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</si>
  <si>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</si>
  <si>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</si>
  <si>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33/3</t>
  </si>
  <si>
    <t>Отчет об исполнении договора управления многоквартирного дома 
Первомайский, 33/3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</si>
  <si>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</si>
  <si>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</si>
  <si>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</si>
  <si>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</si>
  <si>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</si>
  <si>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</si>
  <si>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</si>
  <si>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</si>
  <si>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</si>
  <si>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Замена привода дверей кабины лифта.</t>
  </si>
  <si>
    <t>разово</t>
  </si>
  <si>
    <t>АВР 1/22 от 25.03.2022, Решение, счет №138 от 17.03.2022</t>
  </si>
  <si>
    <t>Приобретение и установка автоматического выключателя в шахте лифта.</t>
  </si>
  <si>
    <t>АВР 2/22 от 30.07.2022, счет №278 от 02.06.2022</t>
  </si>
  <si>
    <t>Механизированная уборка и вывоз снега с придомовой территории.</t>
  </si>
  <si>
    <t>АВР 3/22 от 03.03.2022, Решение</t>
  </si>
  <si>
    <t>Установка контактора для пассажирского лифта.</t>
  </si>
  <si>
    <t>АВР 4/22 от 29.11.2022, Решение, счет №789 от 29.11.2022</t>
  </si>
  <si>
    <t>АВР 5/22 от 28.02.2022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</si>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</sst>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</cellStyleXfs>
  <cellXfs count="181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4" fontId="24" fillId="0" borderId="0" xfId="5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1" fontId="9" fillId="0" borderId="0" xfId="5" applyNumberFormat="1" applyFill="1" applyBorder="1" applyAlignment="1">
      <alignment horizontal="center"/>
    </xf>
    <xf numFmtId="4" fontId="16" fillId="3" borderId="0" xfId="0" applyNumberFormat="1" applyFont="1" applyFill="1"/>
    <xf numFmtId="49" fontId="17" fillId="3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6" fillId="3" borderId="0" xfId="1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7" fillId="0" borderId="0" xfId="5" applyFont="1" applyFill="1" applyBorder="1" applyAlignment="1">
      <alignment wrapText="1"/>
    </xf>
    <xf numFmtId="0" fontId="4" fillId="0" borderId="0" xfId="5" applyFont="1" applyFill="1" applyBorder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 vertical="center"/>
    </xf>
    <xf numFmtId="4" fontId="9" fillId="0" borderId="0" xfId="5" applyNumberFormat="1" applyFill="1" applyBorder="1" applyAlignment="1"/>
    <xf numFmtId="0" fontId="3" fillId="0" borderId="0" xfId="5" applyFont="1" applyFill="1" applyBorder="1"/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center"/>
    </xf>
    <xf numFmtId="0" fontId="1" fillId="0" borderId="0" xfId="5" applyFont="1" applyFill="1" applyBorder="1"/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0" fontId="0" fillId="0" borderId="0" xfId="0" applyFill="1" applyBorder="1"/>
    <xf numFmtId="4" fontId="16" fillId="0" borderId="0" xfId="0" applyNumberFormat="1" applyFont="1" applyBorder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2 5" xfId="10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" sqref="K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67" t="s">
        <v>176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181</v>
      </c>
      <c r="E4" s="117">
        <v>44562</v>
      </c>
      <c r="K4" s="110"/>
      <c r="L4" s="110"/>
      <c r="M4" s="110"/>
      <c r="N4" s="110"/>
    </row>
    <row r="5" spans="1:18">
      <c r="A5" s="1" t="s">
        <v>0</v>
      </c>
      <c r="E5" s="117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1" t="s">
        <v>1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10"/>
      <c r="L8" s="168"/>
      <c r="M8" s="110"/>
      <c r="N8" s="110"/>
      <c r="O8" s="70" t="s">
        <v>82</v>
      </c>
      <c r="R8" s="16"/>
    </row>
    <row r="9" spans="1:18" ht="18.75" customHeight="1" outlineLevel="1">
      <c r="A9" s="161" t="s">
        <v>2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10"/>
      <c r="L9" s="168"/>
      <c r="M9" s="110"/>
      <c r="N9" s="110"/>
      <c r="O9" s="70" t="s">
        <v>83</v>
      </c>
    </row>
    <row r="10" spans="1:18" ht="18.75" customHeight="1" outlineLevel="1">
      <c r="A10" s="161" t="s">
        <v>3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441702.96799999999</v>
      </c>
      <c r="K10" s="110"/>
      <c r="L10" s="168"/>
      <c r="M10" s="110"/>
      <c r="N10" s="110"/>
      <c r="O10" s="70" t="s">
        <v>84</v>
      </c>
    </row>
    <row r="11" spans="1:18" outlineLevel="1">
      <c r="A11" s="161" t="s">
        <v>4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840091.51199999999</v>
      </c>
      <c r="K11" s="110"/>
      <c r="L11" s="168"/>
      <c r="M11" s="110"/>
      <c r="N11" s="110"/>
      <c r="O11" s="70" t="s">
        <v>85</v>
      </c>
    </row>
    <row r="12" spans="1:18" ht="18.75" customHeight="1" outlineLevel="1">
      <c r="A12" s="161" t="s">
        <v>5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673199.90399999998</v>
      </c>
      <c r="K12" s="110"/>
      <c r="L12" s="168"/>
      <c r="M12" s="110"/>
      <c r="N12" s="110"/>
      <c r="O12" s="70" t="s">
        <v>86</v>
      </c>
    </row>
    <row r="13" spans="1:18" ht="18.75" customHeight="1" outlineLevel="1">
      <c r="A13" s="161" t="s">
        <v>6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166891.60800000001</v>
      </c>
      <c r="K13" s="110"/>
      <c r="L13" s="168"/>
      <c r="M13" s="110"/>
      <c r="N13" s="110"/>
      <c r="O13" s="70" t="s">
        <v>87</v>
      </c>
    </row>
    <row r="14" spans="1:18" ht="18.75" customHeight="1" outlineLevel="1">
      <c r="A14" s="161" t="s">
        <v>7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10"/>
      <c r="L14" s="168"/>
      <c r="M14" s="110"/>
      <c r="N14" s="110"/>
      <c r="O14" s="70" t="s">
        <v>88</v>
      </c>
    </row>
    <row r="15" spans="1:18" ht="18.75" customHeight="1" outlineLevel="1">
      <c r="A15" s="161" t="s">
        <v>8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829979.48999999941</v>
      </c>
      <c r="K15" s="110"/>
      <c r="L15" s="168"/>
      <c r="M15" s="110"/>
      <c r="N15" s="110"/>
      <c r="O15" s="70" t="s">
        <v>89</v>
      </c>
    </row>
    <row r="16" spans="1:18" ht="18.75" customHeight="1" outlineLevel="1">
      <c r="A16" s="161" t="s">
        <v>9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829979.48999999941</v>
      </c>
      <c r="K16" s="110"/>
      <c r="L16" s="168"/>
      <c r="M16" s="110"/>
      <c r="N16" s="110"/>
      <c r="O16" s="70" t="s">
        <v>90</v>
      </c>
    </row>
    <row r="17" spans="1:23" ht="18.75" customHeight="1" outlineLevel="1">
      <c r="A17" s="161" t="s">
        <v>10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10"/>
      <c r="L17" s="168"/>
      <c r="M17" s="110"/>
      <c r="N17" s="110"/>
      <c r="O17" s="70" t="s">
        <v>91</v>
      </c>
    </row>
    <row r="18" spans="1:23" ht="18.75" customHeight="1" outlineLevel="1">
      <c r="A18" s="161" t="s">
        <v>11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10"/>
      <c r="L18" s="168"/>
      <c r="M18" s="110"/>
      <c r="N18" s="110"/>
      <c r="O18" s="70" t="s">
        <v>92</v>
      </c>
    </row>
    <row r="19" spans="1:23" ht="18.75" customHeight="1" outlineLevel="1">
      <c r="A19" s="161" t="s">
        <v>12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10"/>
      <c r="L19" s="168"/>
      <c r="M19" s="110"/>
      <c r="N19" s="110"/>
      <c r="O19" s="70" t="s">
        <v>93</v>
      </c>
    </row>
    <row r="20" spans="1:23" ht="18.75" customHeight="1" outlineLevel="1">
      <c r="A20" s="161" t="s">
        <v>13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10"/>
      <c r="L20" s="168"/>
      <c r="M20" s="110"/>
      <c r="N20" s="110"/>
      <c r="O20" s="70" t="s">
        <v>94</v>
      </c>
    </row>
    <row r="21" spans="1:23" ht="18.75" customHeight="1" outlineLevel="1">
      <c r="A21" s="161" t="s">
        <v>14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829979.48999999941</v>
      </c>
      <c r="K21" s="110"/>
      <c r="L21" s="168"/>
      <c r="M21" s="110"/>
      <c r="N21" s="110"/>
      <c r="O21" s="70" t="s">
        <v>95</v>
      </c>
    </row>
    <row r="22" spans="1:23" ht="18.75" customHeight="1" outlineLevel="1">
      <c r="A22" s="161" t="s">
        <v>15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10"/>
      <c r="L22" s="168"/>
      <c r="M22" s="110"/>
      <c r="N22" s="110"/>
      <c r="O22" s="70" t="s">
        <v>96</v>
      </c>
    </row>
    <row r="23" spans="1:23" ht="18.75" customHeight="1" outlineLevel="1">
      <c r="A23" s="161" t="s">
        <v>16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10"/>
      <c r="L23" s="168"/>
      <c r="M23" s="110"/>
      <c r="N23" s="110"/>
      <c r="O23" s="70" t="s">
        <v>97</v>
      </c>
    </row>
    <row r="24" spans="1:23" ht="18.75" customHeight="1" outlineLevel="1">
      <c r="A24" s="161" t="s">
        <v>17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451814.99000000057</v>
      </c>
      <c r="K24" s="110"/>
      <c r="L24" s="168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60" t="s">
        <v>18</v>
      </c>
      <c r="B27" s="160"/>
      <c r="C27" s="160"/>
      <c r="D27" s="160"/>
      <c r="E27" s="160"/>
      <c r="F27" s="160" t="s">
        <v>19</v>
      </c>
      <c r="G27" s="160"/>
      <c r="H27" s="5" t="s">
        <v>56</v>
      </c>
      <c r="I27" s="160" t="s">
        <v>20</v>
      </c>
      <c r="J27" s="160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272855.52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2" t="str">
        <f>ПТО!A40</f>
        <v>Работы (услуги) по управлению многоквартирным домом</v>
      </c>
      <c r="B29" s="152"/>
      <c r="C29" s="152"/>
      <c r="D29" s="152"/>
      <c r="E29" s="152"/>
      <c r="F29" s="157">
        <f>VLOOKUP(A29,ПТО!$A$39:$D$53,2,FALSE)</f>
        <v>174792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69"/>
      <c r="M29" s="110"/>
      <c r="N29" s="110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42998.879999999997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41950.080000000002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69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13284.24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54535.08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2" t="str">
        <f>ПТО!A46</f>
        <v>Работы по содержанию лифта (лифтов)</v>
      </c>
      <c r="B35" s="152"/>
      <c r="C35" s="152"/>
      <c r="D35" s="152"/>
      <c r="E35" s="152"/>
      <c r="F35" s="157">
        <f>VLOOKUP(A35,ПТО!$A$39:$D$53,2,FALSE)</f>
        <v>67819.319999999992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69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69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69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69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69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69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69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69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7">
        <f>VLOOKUP(A43,ПТО!$A$2:$D$31,4,FALSE)</f>
        <v>8100</v>
      </c>
      <c r="G43" s="157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10"/>
      <c r="L43" s="169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2" t="str">
        <f>ПТО!A3</f>
        <v>Замена привода дверей кабины лифта.</v>
      </c>
      <c r="B44" s="152"/>
      <c r="C44" s="152"/>
      <c r="D44" s="152"/>
      <c r="E44" s="152"/>
      <c r="F44" s="157">
        <f>VLOOKUP(A44,ПТО!$A$2:$D$31,4,FALSE)</f>
        <v>4193.1899999999996</v>
      </c>
      <c r="G44" s="157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10"/>
      <c r="L44" s="169"/>
      <c r="M44" s="116"/>
      <c r="N44" s="110"/>
      <c r="O44" s="23" t="str">
        <f t="shared" si="1"/>
        <v>Замена привода дверей кабины лифта.</v>
      </c>
      <c r="R44" s="22" t="s">
        <v>71</v>
      </c>
    </row>
    <row r="45" spans="1:18" ht="51" customHeight="1" outlineLevel="1">
      <c r="A45" s="152" t="str">
        <f>ПТО!A4</f>
        <v>Приобретение и установка автоматического выключателя в шахте лифта.</v>
      </c>
      <c r="B45" s="152"/>
      <c r="C45" s="152"/>
      <c r="D45" s="152"/>
      <c r="E45" s="152"/>
      <c r="F45" s="157">
        <f>VLOOKUP(A45,ПТО!$A$2:$D$31,4,FALSE)</f>
        <v>490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69"/>
      <c r="M45" s="116"/>
      <c r="N45" s="110"/>
      <c r="O45" s="23" t="str">
        <f t="shared" si="1"/>
        <v>Приобретение и установка автоматического выключателя в шахте лифта.</v>
      </c>
      <c r="R45" s="22" t="s">
        <v>71</v>
      </c>
    </row>
    <row r="46" spans="1:18" ht="51" customHeight="1" outlineLevel="1">
      <c r="A46" s="152" t="str">
        <f>ПТО!A5</f>
        <v>Механизированная уборка и вывоз снега с придомовой территории.</v>
      </c>
      <c r="B46" s="152"/>
      <c r="C46" s="152"/>
      <c r="D46" s="152"/>
      <c r="E46" s="152"/>
      <c r="F46" s="157">
        <f>VLOOKUP(A46,ПТО!$A$2:$D$31,4,FALSE)</f>
        <v>14420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69"/>
      <c r="M46" s="116"/>
      <c r="N46" s="110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52" t="str">
        <f>ПТО!A6</f>
        <v>Установка контактора для пассажирского лифта.</v>
      </c>
      <c r="B47" s="152"/>
      <c r="C47" s="152"/>
      <c r="D47" s="152"/>
      <c r="E47" s="152"/>
      <c r="F47" s="157">
        <f>VLOOKUP(A47,ПТО!$A$2:$D$31,4,FALSE)</f>
        <v>1780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69"/>
      <c r="M47" s="116"/>
      <c r="N47" s="110"/>
      <c r="O47" s="23" t="str">
        <f t="shared" si="1"/>
        <v>Установка контактора для пассажирского лифта.</v>
      </c>
      <c r="R47" s="22" t="s">
        <v>71</v>
      </c>
    </row>
    <row r="48" spans="1:18" ht="51" hidden="1" customHeight="1" outlineLevel="1">
      <c r="A48" s="152">
        <f>ПТО!A7</f>
        <v>0</v>
      </c>
      <c r="B48" s="152"/>
      <c r="C48" s="152"/>
      <c r="D48" s="152"/>
      <c r="E48" s="152"/>
      <c r="F48" s="157" t="e">
        <f>VLOOKUP(A48,ПТО!$A$2:$D$31,4,FALSE)</f>
        <v>#N/A</v>
      </c>
      <c r="G48" s="157"/>
      <c r="H48" s="25" t="e">
        <f>VLOOKUP(A48,ПТО!$A$2:$D$31,2,FALSE)</f>
        <v>#N/A</v>
      </c>
      <c r="I48" s="153" t="e">
        <f>VLOOKUP(A48,ПТО!$A$2:$D$31,3,FALSE)</f>
        <v>#N/A</v>
      </c>
      <c r="J48" s="153"/>
      <c r="K48" s="110"/>
      <c r="L48" s="169"/>
      <c r="M48" s="116"/>
      <c r="N48" s="110"/>
      <c r="O48" s="23">
        <f t="shared" si="1"/>
        <v>0</v>
      </c>
      <c r="R48" s="22" t="s">
        <v>71</v>
      </c>
    </row>
    <row r="49" spans="1:18" ht="51" hidden="1" customHeight="1" outlineLevel="1">
      <c r="A49" s="152">
        <f>ПТО!A8</f>
        <v>0</v>
      </c>
      <c r="B49" s="152"/>
      <c r="C49" s="152"/>
      <c r="D49" s="152"/>
      <c r="E49" s="152"/>
      <c r="F49" s="157" t="e">
        <f>VLOOKUP(A49,ПТО!$A$2:$D$31,4,FALSE)</f>
        <v>#N/A</v>
      </c>
      <c r="G49" s="157"/>
      <c r="H49" s="25" t="e">
        <f>VLOOKUP(A49,ПТО!$A$2:$D$31,2,FALSE)</f>
        <v>#N/A</v>
      </c>
      <c r="I49" s="153" t="e">
        <f>VLOOKUP(A49,ПТО!$A$2:$D$31,3,FALSE)</f>
        <v>#N/A</v>
      </c>
      <c r="J49" s="153"/>
      <c r="K49" s="110"/>
      <c r="L49" s="169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52">
        <f>ПТО!A9</f>
        <v>0</v>
      </c>
      <c r="B50" s="152"/>
      <c r="C50" s="152"/>
      <c r="D50" s="152"/>
      <c r="E50" s="152"/>
      <c r="F50" s="157" t="e">
        <f>VLOOKUP(A50,ПТО!$A$2:$D$31,4,FALSE)</f>
        <v>#N/A</v>
      </c>
      <c r="G50" s="157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10"/>
      <c r="L50" s="169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52">
        <f>ПТО!A10</f>
        <v>0</v>
      </c>
      <c r="B51" s="152"/>
      <c r="C51" s="152"/>
      <c r="D51" s="152"/>
      <c r="E51" s="152"/>
      <c r="F51" s="157" t="e">
        <f>VLOOKUP(A51,ПТО!$A$2:$D$31,4,FALSE)</f>
        <v>#N/A</v>
      </c>
      <c r="G51" s="157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0"/>
      <c r="L51" s="169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69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69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69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69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69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69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69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69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69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69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69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69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69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69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69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69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69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69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69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69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0" t="s">
        <v>26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10"/>
      <c r="L75" s="172"/>
      <c r="M75" s="110"/>
      <c r="N75" s="110"/>
      <c r="O75" s="70" t="s">
        <v>99</v>
      </c>
    </row>
    <row r="76" spans="1:16384" ht="18.75" customHeight="1" outlineLevel="1">
      <c r="A76" s="170" t="s">
        <v>27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10"/>
      <c r="L76" s="172"/>
      <c r="M76" s="110"/>
      <c r="N76" s="110"/>
      <c r="O76" s="70" t="s">
        <v>100</v>
      </c>
    </row>
    <row r="77" spans="1:16384" ht="21.75" customHeight="1" outlineLevel="1">
      <c r="A77" s="170" t="s">
        <v>28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10"/>
      <c r="L77" s="172"/>
      <c r="M77" s="110"/>
      <c r="N77" s="110"/>
      <c r="O77" s="70" t="s">
        <v>101</v>
      </c>
    </row>
    <row r="78" spans="1:16384" ht="18.75" customHeight="1" outlineLevel="1">
      <c r="A78" s="170" t="s">
        <v>29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10"/>
      <c r="L78" s="172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0" t="s">
        <v>1</v>
      </c>
      <c r="B81" s="150"/>
      <c r="C81" s="150"/>
      <c r="D81" s="150"/>
      <c r="E81" s="150"/>
      <c r="F81" s="150"/>
      <c r="G81" s="150"/>
      <c r="H81" s="150"/>
      <c r="I81" s="150"/>
      <c r="J81" s="97">
        <f t="shared" ref="J81:J90" si="2">VLOOKUP(O81,АО,3,FALSE)</f>
        <v>0</v>
      </c>
      <c r="K81" s="110"/>
      <c r="L81" s="158"/>
      <c r="M81" s="110"/>
      <c r="N81" s="110"/>
      <c r="O81" s="70" t="s">
        <v>103</v>
      </c>
    </row>
    <row r="82" spans="1:15" outlineLevel="1">
      <c r="A82" s="150" t="s">
        <v>2</v>
      </c>
      <c r="B82" s="150"/>
      <c r="C82" s="150"/>
      <c r="D82" s="150"/>
      <c r="E82" s="150"/>
      <c r="F82" s="150"/>
      <c r="G82" s="150"/>
      <c r="H82" s="150"/>
      <c r="I82" s="150"/>
      <c r="J82" s="97">
        <f t="shared" si="2"/>
        <v>0</v>
      </c>
      <c r="K82" s="110"/>
      <c r="L82" s="158"/>
      <c r="M82" s="110"/>
      <c r="N82" s="110"/>
      <c r="O82" s="70" t="s">
        <v>104</v>
      </c>
    </row>
    <row r="83" spans="1:15" outlineLevel="1">
      <c r="A83" s="164" t="s">
        <v>3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74897.149999999994</v>
      </c>
      <c r="K83" s="110"/>
      <c r="L83" s="158"/>
      <c r="M83" s="110"/>
      <c r="N83" s="110"/>
      <c r="O83" s="70" t="s">
        <v>105</v>
      </c>
    </row>
    <row r="84" spans="1:15" outlineLevel="1">
      <c r="A84" s="164" t="s">
        <v>15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10"/>
      <c r="L84" s="158"/>
      <c r="M84" s="110"/>
      <c r="N84" s="110"/>
      <c r="O84" s="70" t="s">
        <v>106</v>
      </c>
    </row>
    <row r="85" spans="1:15" outlineLevel="1">
      <c r="A85" s="164" t="s">
        <v>16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10"/>
      <c r="L85" s="158"/>
      <c r="M85" s="110"/>
      <c r="N85" s="110"/>
      <c r="O85" s="70" t="s">
        <v>107</v>
      </c>
    </row>
    <row r="86" spans="1:15" outlineLevel="1">
      <c r="A86" s="164" t="s">
        <v>17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79121.409999999989</v>
      </c>
      <c r="K86" s="110"/>
      <c r="L86" s="158"/>
      <c r="M86" s="110"/>
      <c r="N86" s="110"/>
      <c r="O86" s="70" t="s">
        <v>108</v>
      </c>
    </row>
    <row r="87" spans="1:15" ht="18.75" customHeight="1" outlineLevel="1">
      <c r="A87" s="164" t="s">
        <v>26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58"/>
      <c r="M87" s="110"/>
      <c r="N87" s="110"/>
      <c r="O87" s="70" t="s">
        <v>109</v>
      </c>
    </row>
    <row r="88" spans="1:15" ht="18.75" customHeight="1" outlineLevel="1">
      <c r="A88" s="164" t="s">
        <v>27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58"/>
      <c r="M88" s="110"/>
      <c r="N88" s="110"/>
      <c r="O88" s="70" t="s">
        <v>110</v>
      </c>
    </row>
    <row r="89" spans="1:15" ht="18.75" customHeight="1" outlineLevel="1">
      <c r="A89" s="164" t="s">
        <v>28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58"/>
      <c r="M89" s="110"/>
      <c r="N89" s="110"/>
      <c r="O89" s="70" t="s">
        <v>111</v>
      </c>
    </row>
    <row r="90" spans="1:15" ht="18.75" customHeight="1" outlineLevel="1">
      <c r="A90" s="164" t="s">
        <v>29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10"/>
      <c r="L90" s="158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73" t="s">
        <v>47</v>
      </c>
      <c r="B93" s="173"/>
      <c r="C93" s="173"/>
      <c r="D93" s="174" t="s">
        <v>48</v>
      </c>
      <c r="E93" s="174"/>
      <c r="F93" s="10" t="s">
        <v>49</v>
      </c>
      <c r="G93" s="173" t="s">
        <v>50</v>
      </c>
      <c r="H93" s="173"/>
      <c r="I93" s="173"/>
      <c r="J93" s="173"/>
      <c r="K93" s="110"/>
      <c r="L93" s="110"/>
      <c r="M93" s="110"/>
      <c r="N93" s="110"/>
    </row>
    <row r="94" spans="1:15" hidden="1" outlineLevel="1">
      <c r="A94" s="154">
        <f>IF(VLOOKUP("эл",АО,3,FALSE)&gt;0,"Электроснабжение",0)</f>
        <v>0</v>
      </c>
      <c r="B94" s="154"/>
      <c r="C94" s="154"/>
      <c r="D94" s="155">
        <f>IF(VLOOKUP("эл",АО,3,FALSE)&gt;0,VLOOKUP("эл",АО,3,FALSE),0)</f>
        <v>0</v>
      </c>
      <c r="E94" s="155"/>
      <c r="F94" s="13">
        <f>IF(VLOOKUP("эл",АО,3,FALSE)&gt;0,VLOOKUP("эл",АО,4,FALSE),0)</f>
        <v>0</v>
      </c>
      <c r="G94" s="156">
        <f>VLOOKUP("эл",АО,5,FALSE)</f>
        <v>0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hidden="1" outlineLevel="2">
      <c r="A95" s="171">
        <f>IF(VLOOKUP("эл",АО,3,FALSE)&gt;0,VLOOKUP("эл1",АО,2,FALSE),0)</f>
        <v>0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0</v>
      </c>
      <c r="L95" s="159"/>
      <c r="O95" s="1" t="s">
        <v>113</v>
      </c>
    </row>
    <row r="96" spans="1:15" hidden="1" outlineLevel="2">
      <c r="A96" s="171">
        <f>IF(VLOOKUP("эл",АО,3,FALSE)&gt;0,VLOOKUP("эл2",АО,2,FALSE),0)</f>
        <v>0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0</v>
      </c>
      <c r="L96" s="159"/>
      <c r="O96" s="1" t="s">
        <v>114</v>
      </c>
    </row>
    <row r="97" spans="1:15" hidden="1" outlineLevel="2">
      <c r="A97" s="171">
        <f>IF(VLOOKUP("эл",АО,3,FALSE)&gt;0,VLOOKUP("эл3",АО,2,FALSE),0)</f>
        <v>0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115</v>
      </c>
    </row>
    <row r="98" spans="1:15" ht="37.5" hidden="1" customHeight="1" outlineLevel="2">
      <c r="A98" s="171">
        <f>IF(VLOOKUP("эл",АО,3,FALSE)&gt;0,VLOOKUP("эл4",АО,2,FALSE),0)</f>
        <v>0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0</v>
      </c>
      <c r="L98" s="159"/>
      <c r="O98" s="1" t="s">
        <v>116</v>
      </c>
    </row>
    <row r="99" spans="1:15" hidden="1" outlineLevel="2">
      <c r="A99" s="171">
        <f>IF(VLOOKUP("эл",АО,3,FALSE)&gt;0,VLOOKUP("эл5",АО,2,FALSE),0)</f>
        <v>0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0</v>
      </c>
      <c r="L99" s="159"/>
      <c r="O99" s="1" t="s">
        <v>117</v>
      </c>
    </row>
    <row r="100" spans="1:15" ht="39" hidden="1" customHeight="1" outlineLevel="2">
      <c r="A100" s="171">
        <f>IF(VLOOKUP("эл",АО,3,FALSE)&gt;0,VLOOKUP("эл6",АО,2,FALSE),0)</f>
        <v>0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118</v>
      </c>
    </row>
    <row r="101" spans="1:15" ht="34.5" hidden="1" customHeight="1" outlineLevel="2">
      <c r="A101" s="171">
        <f>IF(VLOOKUP("эл",АО,3,FALSE)&gt;0,VLOOKUP("эл7",АО,2,FALSE),0)</f>
        <v>0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119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112687.95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7513.271441260651</v>
      </c>
      <c r="L103" s="159"/>
      <c r="O103" s="1" t="s">
        <v>122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112675.66</v>
      </c>
      <c r="L104" s="159"/>
      <c r="O104" s="1" t="s">
        <v>123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12.289999999993597</v>
      </c>
      <c r="L105" s="159"/>
      <c r="O105" s="1" t="s">
        <v>124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112687.95</v>
      </c>
      <c r="L106" s="159"/>
      <c r="O106" s="1" t="s">
        <v>125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112687.95</v>
      </c>
      <c r="L107" s="159"/>
      <c r="O107" s="1" t="s">
        <v>126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127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128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138054.92999999996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8294.2801169115828</v>
      </c>
      <c r="L111" s="159"/>
      <c r="O111" s="1" t="s">
        <v>130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137704.1</v>
      </c>
      <c r="L112" s="159"/>
      <c r="O112" s="1" t="s">
        <v>131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350.82999999995809</v>
      </c>
      <c r="L113" s="159"/>
      <c r="O113" s="1" t="s">
        <v>132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138054.92999999996</v>
      </c>
      <c r="L114" s="159"/>
      <c r="O114" s="1" t="s">
        <v>133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138054.92999999996</v>
      </c>
      <c r="L115" s="159"/>
      <c r="O115" s="1" t="s">
        <v>134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135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136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6">
        <f>VLOOKUP("тко",АО,5,FALSE)</f>
        <v>118761.91</v>
      </c>
      <c r="H118" s="155"/>
      <c r="I118" s="155"/>
      <c r="J118" s="155"/>
      <c r="L118" s="47"/>
    </row>
    <row r="119" spans="1:15" ht="32.25" customHeight="1" outlineLevel="2">
      <c r="A119" s="150" t="str">
        <f t="shared" ref="A119:A125" si="8">IF(VLOOKUP("тко",АО,3,FALSE)&gt;0,VLOOKUP(O119,АО,2,FALSE),0)</f>
        <v>Общий объем потребления, нат. показ.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233.67062899408808</v>
      </c>
      <c r="L119" s="47"/>
      <c r="O119" s="1" t="s">
        <v>138</v>
      </c>
    </row>
    <row r="120" spans="1:15" ht="32.25" customHeight="1" outlineLevel="2">
      <c r="A120" s="150" t="str">
        <f t="shared" si="8"/>
        <v>Оплачено потребителями, руб.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114900.77000000002</v>
      </c>
      <c r="L120" s="47"/>
      <c r="O120" s="1" t="s">
        <v>139</v>
      </c>
    </row>
    <row r="121" spans="1:15" ht="32.25" customHeight="1" outlineLevel="2">
      <c r="A121" s="150" t="str">
        <f t="shared" si="8"/>
        <v>Задолженность потребителей, руб.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3861.1399999999849</v>
      </c>
      <c r="L121" s="47"/>
      <c r="O121" s="1" t="s">
        <v>140</v>
      </c>
    </row>
    <row r="122" spans="1:15" ht="32.25" customHeight="1" outlineLevel="2">
      <c r="A122" s="150" t="str">
        <f t="shared" si="8"/>
        <v>Начислено поставщиком (поставщиками) коммунального ресурса, руб.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118761.91</v>
      </c>
      <c r="L122" s="47"/>
      <c r="O122" s="1" t="s">
        <v>141</v>
      </c>
    </row>
    <row r="123" spans="1:15" ht="32.25" customHeight="1" outlineLevel="2">
      <c r="A123" s="150" t="str">
        <f t="shared" si="8"/>
        <v>Оплачено поставщику (поставщикам) коммунального ресурса, руб.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118761.91</v>
      </c>
      <c r="L123" s="47"/>
      <c r="O123" s="1" t="s">
        <v>142</v>
      </c>
    </row>
    <row r="124" spans="1:15" ht="32.25" customHeight="1" outlineLevel="2">
      <c r="A124" s="150" t="str">
        <f t="shared" si="8"/>
        <v>Задолженность перед поставщиком (поставщиками) коммунального ресурса, руб.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0" t="str">
        <f t="shared" si="8"/>
        <v>Размер пени и штрафов, уплаченных поставщику (поставщикам) коммунального ресурса, руб.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6">
        <f>VLOOKUP("гвс",АО,5,FALSE)</f>
        <v>0</v>
      </c>
      <c r="H126" s="155"/>
      <c r="I126" s="155"/>
      <c r="J126" s="155"/>
      <c r="L126" s="47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7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0" t="s">
        <v>44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4</v>
      </c>
      <c r="O144" t="s">
        <v>170</v>
      </c>
    </row>
    <row r="145" spans="1:15" ht="18.75" customHeight="1" outlineLevel="1">
      <c r="A145" s="150" t="s">
        <v>45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0" t="s">
        <v>173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172</v>
      </c>
    </row>
    <row r="149" spans="1:15" ht="52.5" customHeight="1">
      <c r="A149" s="175" t="s">
        <v>177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181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77" t="s">
        <v>182</v>
      </c>
      <c r="B154" s="177"/>
      <c r="C154" s="177"/>
      <c r="D154" s="177"/>
      <c r="E154" s="27">
        <f>ПТО!G1</f>
        <v>-333424.65000000002</v>
      </c>
    </row>
    <row r="155" spans="1:15" ht="34.5" customHeight="1">
      <c r="A155" s="176" t="s">
        <v>186</v>
      </c>
      <c r="B155" s="176"/>
      <c r="C155" s="176"/>
      <c r="D155" s="176"/>
      <c r="E155" s="28">
        <f>J13</f>
        <v>166891.60800000001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18</v>
      </c>
      <c r="B157" s="160"/>
      <c r="C157" s="160"/>
      <c r="D157" s="160"/>
      <c r="E157" s="160"/>
      <c r="F157" s="160" t="s">
        <v>19</v>
      </c>
      <c r="G157" s="160"/>
      <c r="H157" s="20" t="s">
        <v>56</v>
      </c>
      <c r="I157" s="160" t="s">
        <v>20</v>
      </c>
      <c r="J157" s="160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8100</v>
      </c>
      <c r="G158" s="157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Замена привода дверей кабины лифта.</v>
      </c>
      <c r="B159" s="152"/>
      <c r="C159" s="152"/>
      <c r="D159" s="152"/>
      <c r="E159" s="152"/>
      <c r="F159" s="157">
        <f t="shared" si="15"/>
        <v>4193.1899999999996</v>
      </c>
      <c r="G159" s="157"/>
      <c r="H159" s="24" t="str">
        <f t="shared" si="16"/>
        <v>разово</v>
      </c>
      <c r="I159" s="153">
        <f t="shared" si="17"/>
        <v>1</v>
      </c>
      <c r="J159" s="153"/>
      <c r="M159" s="22" t="s">
        <v>71</v>
      </c>
      <c r="N159" s="1" t="str">
        <v>Замена привода дверей кабины лифта.</v>
      </c>
    </row>
    <row r="160" spans="1:15" ht="28.5" customHeight="1">
      <c r="A160" s="152" t="str">
        <f t="shared" si="14"/>
        <v>Приобретение и установка автоматического выключателя в шахте лифта.</v>
      </c>
      <c r="B160" s="152"/>
      <c r="C160" s="152"/>
      <c r="D160" s="152"/>
      <c r="E160" s="152"/>
      <c r="F160" s="157">
        <f t="shared" si="15"/>
        <v>490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Приобретение и установка автоматического выключателя в шахте лифта.</v>
      </c>
    </row>
    <row r="161" spans="1:14" ht="28.5" customHeight="1">
      <c r="A161" s="152" t="str">
        <f>IF(N161&gt;0,N161,0)</f>
        <v>Механизированная уборка и вывоз снега с придомовой территории.</v>
      </c>
      <c r="B161" s="152"/>
      <c r="C161" s="152"/>
      <c r="D161" s="152"/>
      <c r="E161" s="152"/>
      <c r="F161" s="157">
        <f t="shared" si="15"/>
        <v>14420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2" t="str">
        <f t="shared" si="14"/>
        <v>Установка контактора для пассажирского лифта.</v>
      </c>
      <c r="B162" s="152"/>
      <c r="C162" s="152"/>
      <c r="D162" s="152"/>
      <c r="E162" s="152"/>
      <c r="F162" s="157">
        <f t="shared" si="15"/>
        <v>1780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71</v>
      </c>
      <c r="N162" s="1" t="str">
        <v>Установка контактора для пассажирского лифта.</v>
      </c>
    </row>
    <row r="163" spans="1:14" ht="28.5" hidden="1" customHeight="1">
      <c r="A163" s="152">
        <f t="shared" si="14"/>
        <v>0</v>
      </c>
      <c r="B163" s="152"/>
      <c r="C163" s="152"/>
      <c r="D163" s="152"/>
      <c r="E163" s="152"/>
      <c r="F163" s="157">
        <f t="shared" si="15"/>
        <v>0</v>
      </c>
      <c r="G163" s="157"/>
      <c r="H163" s="24" t="e">
        <f t="shared" si="16"/>
        <v>#N/A</v>
      </c>
      <c r="I163" s="153" t="e">
        <f>VLOOKUP(A163,$A$28:$J$72,9,FALSE)</f>
        <v>#N/A</v>
      </c>
      <c r="J163" s="153"/>
      <c r="M163" s="22" t="s">
        <v>71</v>
      </c>
      <c r="N163" s="1">
        <v>0</v>
      </c>
    </row>
    <row r="164" spans="1:14" ht="28.5" hidden="1" customHeight="1">
      <c r="A164" s="152">
        <f t="shared" ref="A164:A187" si="18">IF(N164&gt;0,N164,0)</f>
        <v>0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0</v>
      </c>
      <c r="G164" s="157"/>
      <c r="H164" s="29" t="e">
        <f t="shared" si="16"/>
        <v>#N/A</v>
      </c>
      <c r="I164" s="153" t="e">
        <f t="shared" ref="I164:I187" si="20">VLOOKUP(A164,$A$28:$J$72,9,FALSE)</f>
        <v>#N/A</v>
      </c>
      <c r="J164" s="153"/>
      <c r="M164" s="22" t="s">
        <v>71</v>
      </c>
      <c r="N164" s="1">
        <v>0</v>
      </c>
    </row>
    <row r="165" spans="1:14" ht="28.5" hidden="1" customHeight="1">
      <c r="A165" s="152">
        <f t="shared" si="18"/>
        <v>0</v>
      </c>
      <c r="B165" s="152"/>
      <c r="C165" s="152"/>
      <c r="D165" s="152"/>
      <c r="E165" s="152"/>
      <c r="F165" s="157">
        <f t="shared" si="19"/>
        <v>0</v>
      </c>
      <c r="G165" s="157"/>
      <c r="H165" s="29" t="e">
        <f t="shared" si="16"/>
        <v>#N/A</v>
      </c>
      <c r="I165" s="153" t="e">
        <f t="shared" si="20"/>
        <v>#N/A</v>
      </c>
      <c r="J165" s="153"/>
      <c r="M165" s="22" t="s">
        <v>71</v>
      </c>
      <c r="N165" s="1">
        <v>0</v>
      </c>
    </row>
    <row r="166" spans="1:14" ht="28.5" hidden="1" customHeight="1">
      <c r="A166" s="152">
        <f t="shared" si="18"/>
        <v>0</v>
      </c>
      <c r="B166" s="152"/>
      <c r="C166" s="152"/>
      <c r="D166" s="152"/>
      <c r="E166" s="152"/>
      <c r="F166" s="157">
        <f t="shared" si="19"/>
        <v>0</v>
      </c>
      <c r="G166" s="157"/>
      <c r="H166" s="29" t="e">
        <f t="shared" si="16"/>
        <v>#N/A</v>
      </c>
      <c r="I166" s="153" t="e">
        <f t="shared" si="20"/>
        <v>#N/A</v>
      </c>
      <c r="J166" s="153"/>
      <c r="M166" s="22" t="s">
        <v>71</v>
      </c>
      <c r="N166" s="1">
        <v>0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71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71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71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77" t="s">
        <v>185</v>
      </c>
      <c r="B190" s="177"/>
      <c r="C190" s="177"/>
      <c r="D190" s="177"/>
      <c r="E190" s="27">
        <f>SUM(F158:G187)</f>
        <v>28983.19</v>
      </c>
    </row>
    <row r="191" spans="1:14" ht="51.75" customHeight="1">
      <c r="A191" s="177" t="s">
        <v>184</v>
      </c>
      <c r="B191" s="177"/>
      <c r="C191" s="177"/>
      <c r="D191" s="177"/>
      <c r="E191" s="27">
        <f>E190+E154-E155</f>
        <v>-471333.06800000003</v>
      </c>
    </row>
    <row r="192" spans="1:14">
      <c r="A192" s="105" t="s">
        <v>174</v>
      </c>
    </row>
    <row r="193" spans="1:10" ht="62.25" customHeight="1">
      <c r="A193" s="151" t="s">
        <v>183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49">
        <f>ПТО!G12</f>
        <v>1200</v>
      </c>
      <c r="I194" s="50" t="s">
        <v>74</v>
      </c>
    </row>
    <row r="195" spans="1:10" ht="18.75" customHeight="1">
      <c r="A195" s="149" t="str">
        <f>ПТО!F13</f>
        <v xml:space="preserve">  -  техническое освидетельствование лифта</v>
      </c>
      <c r="B195" s="149"/>
      <c r="C195" s="149"/>
      <c r="D195" s="149"/>
      <c r="E195" s="149"/>
      <c r="F195" s="149"/>
      <c r="G195" s="149"/>
      <c r="H195" s="49">
        <f>ПТО!G13</f>
        <v>8100</v>
      </c>
      <c r="I195" s="50" t="s">
        <v>74</v>
      </c>
    </row>
    <row r="196" spans="1:10" ht="36.75" customHeight="1">
      <c r="A196" s="149" t="str">
        <f>ПТО!F14</f>
        <v xml:space="preserve">  -  механизированная уборка и вывоз снега с придомовой территории</v>
      </c>
      <c r="B196" s="149"/>
      <c r="C196" s="149"/>
      <c r="D196" s="149"/>
      <c r="E196" s="149"/>
      <c r="F196" s="149"/>
      <c r="G196" s="149"/>
      <c r="H196" s="49">
        <f>ПТО!G14</f>
        <v>15000</v>
      </c>
      <c r="I196" s="50" t="s">
        <v>74</v>
      </c>
    </row>
    <row r="197" spans="1:10" ht="18.75" hidden="1" customHeight="1">
      <c r="A197" s="149">
        <f>ПТО!F15</f>
        <v>0</v>
      </c>
      <c r="B197" s="149"/>
      <c r="C197" s="149"/>
      <c r="D197" s="149"/>
      <c r="E197" s="149"/>
      <c r="F197" s="149"/>
      <c r="G197" s="149"/>
      <c r="H197" s="49">
        <f>ПТО!G15</f>
        <v>0</v>
      </c>
      <c r="I197" s="50" t="s">
        <v>74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49">
        <f>ПТО!G16</f>
        <v>0</v>
      </c>
      <c r="I198" s="52" t="s">
        <v>74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49">
        <f>ПТО!G17</f>
        <v>0</v>
      </c>
      <c r="I199" s="50" t="s">
        <v>74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49">
        <f>ПТО!G18</f>
        <v>0</v>
      </c>
      <c r="I200" s="50" t="s">
        <v>74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49">
        <f>ПТО!G19</f>
        <v>0</v>
      </c>
      <c r="I201" s="50" t="s">
        <v>74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49">
        <f>ПТО!G20</f>
        <v>0</v>
      </c>
      <c r="I202" s="50" t="s">
        <v>74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49">
        <f>ПТО!G21</f>
        <v>0</v>
      </c>
      <c r="I203" s="50" t="s">
        <v>74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49">
        <f>ПТО!G22</f>
        <v>0</v>
      </c>
      <c r="I204" s="50" t="s">
        <v>74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49">
        <f>ПТО!G23</f>
        <v>0</v>
      </c>
      <c r="I205" s="50" t="s">
        <v>74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49">
        <f>ПТО!G24</f>
        <v>0</v>
      </c>
      <c r="I206" s="50" t="s">
        <v>74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49">
        <f>ПТО!G25</f>
        <v>0</v>
      </c>
      <c r="I207" s="50" t="s">
        <v>74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49">
        <f>ПТО!G26</f>
        <v>0</v>
      </c>
      <c r="I208" s="50" t="s">
        <v>74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49">
        <f>ПТО!G27</f>
        <v>0</v>
      </c>
      <c r="I209" s="50" t="s">
        <v>74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49">
        <f>ПТО!G28</f>
        <v>0</v>
      </c>
      <c r="I210" s="50" t="s">
        <v>74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49">
        <f>ПТО!G29</f>
        <v>0</v>
      </c>
      <c r="I211" s="50" t="s">
        <v>74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49">
        <f>ПТО!G30</f>
        <v>0</v>
      </c>
      <c r="I212" s="50" t="s">
        <v>74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24300</v>
      </c>
      <c r="I214" s="56" t="s">
        <v>77</v>
      </c>
    </row>
  </sheetData>
  <sheetProtection algorithmName="SHA-512" hashValue="lec0M9AxS98HH7jqzVobZs8YiLDDz5pw0DyiiroYoiBtNTTd7G9uY4qQY5nBlQemM+uU+c9b+L27HlCcs0PyRA==" saltValue="8viBAkGexvfqUfndJ81t+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9" sqref="F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182</v>
      </c>
      <c r="G1" s="102">
        <f>-333424.65</f>
        <v>-333424.65000000002</v>
      </c>
    </row>
    <row r="2" spans="1:12" ht="18.75" customHeight="1">
      <c r="A2" s="145" t="s">
        <v>72</v>
      </c>
      <c r="B2" s="146" t="s">
        <v>179</v>
      </c>
      <c r="C2" s="146">
        <v>1</v>
      </c>
      <c r="D2" s="119">
        <v>8100</v>
      </c>
      <c r="E2" s="147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187</v>
      </c>
      <c r="B3" s="121" t="s">
        <v>188</v>
      </c>
      <c r="C3" s="122">
        <v>1</v>
      </c>
      <c r="D3" s="123">
        <v>4193.1899999999996</v>
      </c>
      <c r="E3" s="124" t="s">
        <v>189</v>
      </c>
      <c r="F3" s="30"/>
      <c r="G3" s="30"/>
      <c r="L3" s="33" t="str">
        <f t="shared" si="0"/>
        <v>ТР</v>
      </c>
    </row>
    <row r="4" spans="1:12" ht="28.5" customHeight="1">
      <c r="A4" s="120" t="s">
        <v>190</v>
      </c>
      <c r="B4" s="121" t="s">
        <v>188</v>
      </c>
      <c r="C4" s="122">
        <v>1</v>
      </c>
      <c r="D4" s="123">
        <v>490</v>
      </c>
      <c r="E4" s="124" t="s">
        <v>191</v>
      </c>
      <c r="F4" s="30"/>
      <c r="G4" s="30"/>
      <c r="L4" s="33" t="str">
        <f t="shared" si="0"/>
        <v>ТР</v>
      </c>
    </row>
    <row r="5" spans="1:12" ht="29.25" customHeight="1">
      <c r="A5" s="136" t="s">
        <v>192</v>
      </c>
      <c r="B5" s="137" t="s">
        <v>188</v>
      </c>
      <c r="C5" s="138">
        <v>1</v>
      </c>
      <c r="D5" s="139">
        <v>14420</v>
      </c>
      <c r="E5" s="140" t="s">
        <v>193</v>
      </c>
      <c r="F5" s="44"/>
      <c r="G5" s="44"/>
      <c r="K5" s="46"/>
      <c r="L5" s="33" t="str">
        <f t="shared" si="0"/>
        <v>ТР</v>
      </c>
    </row>
    <row r="6" spans="1:12" ht="31.5" customHeight="1">
      <c r="A6" s="141" t="s">
        <v>194</v>
      </c>
      <c r="B6" s="142" t="s">
        <v>188</v>
      </c>
      <c r="C6" s="125">
        <v>1</v>
      </c>
      <c r="D6" s="119">
        <v>1780</v>
      </c>
      <c r="E6" s="143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44"/>
      <c r="B7" s="132"/>
      <c r="C7" s="133"/>
      <c r="D7" s="46"/>
      <c r="E7" s="44"/>
      <c r="F7" s="45"/>
      <c r="G7" s="45"/>
      <c r="K7" s="46"/>
      <c r="L7" s="33">
        <f t="shared" si="0"/>
        <v>0</v>
      </c>
    </row>
    <row r="8" spans="1:12" ht="34.5" customHeight="1">
      <c r="A8" s="134"/>
      <c r="B8" s="129"/>
      <c r="C8" s="125"/>
      <c r="D8" s="119"/>
      <c r="E8" s="135"/>
      <c r="F8" s="45"/>
      <c r="G8" s="45"/>
      <c r="K8" s="43"/>
      <c r="L8" s="33">
        <f t="shared" si="0"/>
        <v>0</v>
      </c>
    </row>
    <row r="9" spans="1:12">
      <c r="A9" s="98"/>
      <c r="D9" s="46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183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13" t="s">
        <v>197</v>
      </c>
      <c r="G14" s="148">
        <v>15000</v>
      </c>
      <c r="L14" s="33">
        <f t="shared" si="0"/>
        <v>0</v>
      </c>
    </row>
    <row r="15" spans="1:12" ht="15.75">
      <c r="A15" s="30"/>
      <c r="F15" s="127"/>
      <c r="G15" s="126"/>
      <c r="L15" s="33">
        <f t="shared" si="0"/>
        <v>0</v>
      </c>
    </row>
    <row r="16" spans="1:12" ht="15.75">
      <c r="A16" s="30"/>
      <c r="F16" s="128"/>
      <c r="G16" s="114"/>
      <c r="L16" s="33">
        <f t="shared" si="0"/>
        <v>0</v>
      </c>
    </row>
    <row r="17" spans="1:12">
      <c r="A17" s="30"/>
      <c r="F17" s="10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118">
        <v>272855.52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272855.52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174792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174792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42998.879999999997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42998.879999999997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41950.080000000002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41950.080000000002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13284.24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13284.24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8">
        <v>54535.08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54535.08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67819.319999999992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67819.319999999992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0"/>
      <c r="C47" s="131"/>
      <c r="D47" s="48"/>
      <c r="E47" s="130">
        <v>483.8</v>
      </c>
      <c r="F47" s="130">
        <v>357.4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+IKbskXQu/7ZZ+XsVp/2B4RibCvvIIAtDV/k8DZv1meTwQoTNcjkvP0N4ADC8zsAw5mDGmQuNBLfuMMcU7TWkw==" saltValue="FzlSHkbMKZsgoVJOwyZp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" sqref="F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2934.1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441702.96799999999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840091.51199999999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19.12*12*F1</f>
        <v>673199.90399999998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166891.60800000001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829979.48999999941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829979.48999999941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829979.48999999941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451814.99000000057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105</v>
      </c>
      <c r="B27" s="75" t="s">
        <v>3</v>
      </c>
      <c r="C27" s="86">
        <v>74897.149999999994</v>
      </c>
      <c r="D27" s="81" t="s">
        <v>59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108</v>
      </c>
      <c r="B30" s="75" t="s">
        <v>17</v>
      </c>
      <c r="C30" s="86">
        <f>C27+4224.26</f>
        <v>79121.409999999989</v>
      </c>
      <c r="D30" s="81" t="s">
        <v>65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8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78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78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112687.95</v>
      </c>
      <c r="F45" s="94" t="s">
        <v>167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7513.271441260651</v>
      </c>
      <c r="D46" s="94" t="s">
        <v>168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112675.66</v>
      </c>
      <c r="D47" s="94" t="s">
        <v>166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12.289999999993597</v>
      </c>
      <c r="D48" s="80" t="s">
        <v>58</v>
      </c>
      <c r="E48" s="144"/>
      <c r="G48" s="67"/>
      <c r="H48" s="67"/>
      <c r="L48" s="63"/>
      <c r="M48" s="178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112687.95</v>
      </c>
      <c r="D49" s="80" t="s">
        <v>58</v>
      </c>
      <c r="E49" s="144"/>
      <c r="G49" s="67"/>
      <c r="H49" s="67"/>
      <c r="L49" s="63"/>
      <c r="M49" s="178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112687.95</v>
      </c>
      <c r="D50" s="80" t="s">
        <v>58</v>
      </c>
      <c r="E50" s="144"/>
      <c r="G50" s="67"/>
      <c r="H50" s="67"/>
      <c r="L50" s="63"/>
      <c r="M50" s="178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138054.92999999996</v>
      </c>
      <c r="F53" s="94" t="s">
        <v>167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8294.2801169115828</v>
      </c>
      <c r="D54" s="94" t="s">
        <v>168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137704.1</v>
      </c>
      <c r="D55" s="94" t="s">
        <v>166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350.82999999995809</v>
      </c>
      <c r="D56" s="80" t="s">
        <v>58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138054.92999999996</v>
      </c>
      <c r="D57" s="80" t="s">
        <v>58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138054.92999999996</v>
      </c>
      <c r="D58" s="80" t="s">
        <v>58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118761.91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233.67062899408808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114900.77000000002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3861.1399999999849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118761.91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118761.91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4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0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/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2023-03-30T06:07:41Z</dcterms:modified>
</cp:coreProperties>
</file>