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J101" i="1"/>
  <c r="J96" i="1"/>
  <c r="J95" i="1"/>
  <c r="A100" i="1"/>
  <c r="G94" i="1"/>
  <c r="K94" i="1"/>
  <c r="A114" i="1" l="1"/>
  <c r="A109" i="1"/>
  <c r="F102" i="1"/>
  <c r="A111" i="1"/>
  <c r="A115" i="1"/>
  <c r="A110" i="1"/>
  <c r="A119" i="1"/>
  <c r="D110" i="1"/>
  <c r="A112" i="1"/>
  <c r="A116" i="1"/>
  <c r="A123" i="1"/>
  <c r="F110" i="1"/>
  <c r="A113" i="1"/>
  <c r="A118" i="1"/>
  <c r="F134" i="1"/>
  <c r="A141" i="1"/>
  <c r="A137" i="1"/>
  <c r="A120" i="1"/>
  <c r="F118" i="1"/>
  <c r="A121" i="1"/>
  <c r="A122" i="1"/>
  <c r="D118" i="1"/>
  <c r="A124" i="1"/>
  <c r="A95" i="1"/>
  <c r="A94" i="1"/>
  <c r="A96" i="1"/>
  <c r="D94" i="1"/>
  <c r="A99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86" i="1"/>
  <c r="A186" i="1" s="1"/>
  <c r="I186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80" i="1"/>
  <c r="F167" i="1"/>
  <c r="H167" i="1"/>
  <c r="F164" i="1"/>
  <c r="F177" i="1"/>
  <c r="F173" i="1"/>
  <c r="F178" i="1"/>
  <c r="H164" i="1"/>
  <c r="F180" i="1"/>
  <c r="H177" i="1"/>
  <c r="H169" i="1"/>
  <c r="F171" i="1"/>
  <c r="H166" i="1"/>
  <c r="H171" i="1"/>
  <c r="F166" i="1"/>
  <c r="F165" i="1"/>
  <c r="H165" i="1"/>
  <c r="F182" i="1"/>
  <c r="H172" i="1"/>
  <c r="H179" i="1"/>
  <c r="H186" i="1"/>
  <c r="H176" i="1"/>
  <c r="F187" i="1"/>
  <c r="H182" i="1"/>
  <c r="H178" i="1"/>
  <c r="H184" i="1"/>
  <c r="H168" i="1"/>
  <c r="H187" i="1"/>
  <c r="F181" i="1"/>
  <c r="F184" i="1"/>
  <c r="F179" i="1"/>
  <c r="F172" i="1"/>
  <c r="F169" i="1"/>
  <c r="H181" i="1"/>
  <c r="H174" i="1"/>
  <c r="F168" i="1"/>
  <c r="F185" i="1"/>
  <c r="F170" i="1"/>
  <c r="H170" i="1"/>
  <c r="F176" i="1"/>
  <c r="F186" i="1"/>
  <c r="F175" i="1"/>
  <c r="H185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<sst xmlns="http://schemas.openxmlformats.org/spreadsheetml/2006/main" count="557" uniqueCount="205">
  <si>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</si>
  <si>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</si>
  <si>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</si>
  <si>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</si>
  <si>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</si>
  <si>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</si>
  <si>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</si>
  <si>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</si>
  <si>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</si>
  <si>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</si>
  <si>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</si>
  <si>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</si>
  <si>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</si>
  <si>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</si>
  <si>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</si>
  <si>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</si>
  <si>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</si>
  <si>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</si>
  <si>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</si>
  <si>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</si>
  <si>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</si>
  <si>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</si>
  <si>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</si>
  <si>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</si>
  <si>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</si>
  <si>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</si>
  <si>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</si>
  <si>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</si>
  <si>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</si>
  <si>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</si>
  <si>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</si>
  <si>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</si>
  <si>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</si>
  <si>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</si>
  <si>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</si>
  <si>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</si>
  <si>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</si>
  <si>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</si>
  <si>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</si>
  <si>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</si>
  <si>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</si>
  <si>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</si>
  <si>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</si>
  <si>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</si>
  <si>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</si>
  <si>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</si>
  <si>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</si>
  <si>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</si>
  <si>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</si>
  <si>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</si>
  <si>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</si>
  <si>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</si>
  <si>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</si>
  <si>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</si>
  <si>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</si>
  <si>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</si>
  <si>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</si>
  <si>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</si>
  <si>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</si>
  <si>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</si>
  <si>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</si>
  <si>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</si>
  <si>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</si>
  <si>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</si>
  <si>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</si>
  <si>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</si>
  <si>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</si>
  <si>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</si>
  <si>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</si>
  <si>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</si>
  <si>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</si>
  <si>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</si>
  <si>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</si>
  <si>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</si>
  <si>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</si>
  <si>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</si>
  <si>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</si>
  <si>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</si>
  <si>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</si>
  <si>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</si>
  <si>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</si>
  <si>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</si>
  <si>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</si>
  <si>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</si>
  <si>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</si>
  <si>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</si>
  <si>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</si>
  <si>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</si>
  <si>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</si>
  <si>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</si>
  <si>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</si>
  <si>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</si>
  <si>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</si>
  <si>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</si>
  <si>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</si>
  <si>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</si>
  <si>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</si>
  <si>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</si>
  <si>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</si>
  <si>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</si>
  <si>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</si>
  <si>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</si>
  <si>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</si>
  <si>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</si>
  <si>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</si>
  <si>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</si>
  <si>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</si>
  <si>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</si>
  <si>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</si>
  <si>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</si>
  <si>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</si>
  <si>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</si>
  <si>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</si>
  <si>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</si>
  <si>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</si>
  <si>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</si>
  <si>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</si>
  <si>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</si>
  <si>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</si>
  <si>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</si>
  <si>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</si>
  <si>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</si>
  <si>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</si>
  <si>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</si>
  <si>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</si>
  <si>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</si>
  <si>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</si>
  <si>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</si>
  <si>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</si>
  <si>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</si>
  <si>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</si>
  <si>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</si>
  <si>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</si>
  <si>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</si>
  <si>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</si>
  <si>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</si>
  <si>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</si>
  <si>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</si>
  <si>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</si>
  <si>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</si>
  <si>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</si>
  <si>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</si>
  <si>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</si>
  <si>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</si>
  <si>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</si>
  <si>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</si>
  <si>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</si>
  <si>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</si>
  <si>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</si>
  <si>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</si>
  <si>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</si>
  <si>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</si>
  <si>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</si>
  <si>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</si>
  <si>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</si>
  <si>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</si>
  <si>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</si>
  <si>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</si>
  <si>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</si>
  <si>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</si>
  <si>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</si>
  <si>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</si>
  <si>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</si>
  <si>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</si>
  <si>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</si>
  <si>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</si>
  <si>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</si>
  <si>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</si>
  <si>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</si>
  <si>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</si>
  <si>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</si>
  <si>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</si>
  <si>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</si>
  <si>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</si>
  <si>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</si>
  <si>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</si>
  <si>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</si>
  <si>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8</t>
  </si>
  <si>
    <t>Работы по содержанию лифта (лифтов)</t>
  </si>
  <si>
    <t>ежегодно</t>
  </si>
  <si>
    <t>площадь дома</t>
  </si>
  <si>
    <t>Отчет об исполнении договора управления многоквартирного дома 
Мамина-Сибиряка, 8 в части текущего ремонта</t>
  </si>
  <si>
    <t xml:space="preserve">  -  монтаж греющего кабеля на кровле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</si>
  <si>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</si>
  <si>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</si>
  <si>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</si>
  <si>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</si>
  <si>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</si>
  <si>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Установка доводчика на тамбурную дверь.</t>
  </si>
  <si>
    <t>разово</t>
  </si>
  <si>
    <t>АВР 1/22 от 07.02.2022, Решение</t>
  </si>
  <si>
    <t>Ремонт подъезда (1 этаж).</t>
  </si>
  <si>
    <t>Замена запорной арматуры и аварийного участка в тепловом пункте.</t>
  </si>
  <si>
    <t>АВР 2/22 от 01.08.2022, Решение</t>
  </si>
  <si>
    <t>АВР 3/22 от 24.08.2022, Решение, счет №7 от 23.06.2022</t>
  </si>
  <si>
    <t>Ремонт лифта  (правка створок дверей шахты, кабины с заменой башмаков и роликов подвеса).</t>
  </si>
  <si>
    <t>АВР 4/22 от 15.08.2022, Решение, счет №343 от 11.08.2022</t>
  </si>
  <si>
    <t>Приобретение и установка светодиодного светильника в кабину лифта.</t>
  </si>
  <si>
    <t>АВР 5/22 от 15.09.2022, Решение, счет №347 от 25.08.2022</t>
  </si>
  <si>
    <t>Монтаж камеры системы видеонаблюдения (1 шт.)</t>
  </si>
  <si>
    <t>Механизированная уборка и вывоз снега с придомовой территории.</t>
  </si>
  <si>
    <t>АВР 6/22 от 09.03.2022, Решение</t>
  </si>
  <si>
    <t>АВР 7/22 от 10.11.2022, Решение, счет №107 от 03.11.2022</t>
  </si>
  <si>
    <t>АВР 8/22 от 29.04.2022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</si>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</sst>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9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49" fontId="1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25" fillId="3" borderId="0" xfId="7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wrapText="1"/>
    </xf>
    <xf numFmtId="0" fontId="0" fillId="0" borderId="0" xfId="0" applyFill="1" applyBorder="1"/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3" fillId="0" borderId="0" xfId="5" applyNumberFormat="1" applyFont="1" applyFill="1" applyBorder="1" applyAlignment="1">
      <alignment horizontal="center" vertical="center"/>
    </xf>
    <xf numFmtId="4" fontId="9" fillId="0" borderId="0" xfId="5" applyNumberFormat="1" applyFill="1" applyBorder="1" applyAlignment="1"/>
    <xf numFmtId="0" fontId="2" fillId="0" borderId="0" xfId="5" applyFont="1" applyFill="1" applyBorder="1"/>
    <xf numFmtId="4" fontId="15" fillId="0" borderId="0" xfId="1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Protection="1">
      <protection locked="0"/>
    </xf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4" fontId="23" fillId="0" borderId="0" xfId="5" applyNumberFormat="1" applyFont="1" applyFill="1" applyBorder="1" applyAlignment="1"/>
    <xf numFmtId="0" fontId="1" fillId="0" borderId="0" xfId="5" applyFont="1" applyFill="1" applyBorder="1"/>
    <xf numFmtId="4" fontId="15" fillId="0" borderId="0" xfId="0" applyNumberFormat="1" applyFont="1" applyFill="1" applyBorder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2 5" xfId="7"/>
    <cellStyle name="Обычный 2 5 2" xfId="13"/>
    <cellStyle name="Обычный 3" xfId="2"/>
    <cellStyle name="Обычный 3 2" xfId="9"/>
    <cellStyle name="Обычный 4" xfId="4"/>
    <cellStyle name="Обычный 4 2" xfId="10"/>
    <cellStyle name="Обычный 5" xfId="5"/>
    <cellStyle name="Обычный 5 2" xfId="6"/>
    <cellStyle name="Обычный 5 2 2" xfId="12"/>
    <cellStyle name="Обычный 5 3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5" t="s">
        <v>177</v>
      </c>
      <c r="B2" s="165"/>
      <c r="C2" s="165"/>
      <c r="D2" s="165"/>
      <c r="E2" s="165"/>
      <c r="F2" s="165"/>
      <c r="G2" s="165"/>
      <c r="H2" s="165"/>
      <c r="I2" s="165"/>
      <c r="J2" s="16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44562</v>
      </c>
      <c r="K4" s="109"/>
      <c r="L4" s="109"/>
      <c r="M4" s="109"/>
      <c r="N4" s="109"/>
    </row>
    <row r="5" spans="1:18">
      <c r="A5" s="1" t="s">
        <v>1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09"/>
      <c r="L8" s="166"/>
      <c r="M8" s="109"/>
      <c r="N8" s="109"/>
      <c r="O8" s="70" t="s">
        <v>83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09"/>
      <c r="L9" s="166"/>
      <c r="M9" s="109"/>
      <c r="N9" s="109"/>
      <c r="O9" s="70" t="s">
        <v>84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214841.06599999999</v>
      </c>
      <c r="K10" s="109"/>
      <c r="L10" s="166"/>
      <c r="M10" s="109"/>
      <c r="N10" s="109"/>
      <c r="O10" s="70" t="s">
        <v>85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636182.59199999995</v>
      </c>
      <c r="K11" s="109"/>
      <c r="L11" s="166"/>
      <c r="M11" s="109"/>
      <c r="N11" s="109"/>
      <c r="O11" s="70" t="s">
        <v>86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486008.01599999995</v>
      </c>
      <c r="K12" s="109"/>
      <c r="L12" s="166"/>
      <c r="M12" s="109"/>
      <c r="N12" s="109"/>
      <c r="O12" s="70" t="s">
        <v>87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150174.576</v>
      </c>
      <c r="K13" s="109"/>
      <c r="L13" s="166"/>
      <c r="M13" s="109"/>
      <c r="N13" s="109"/>
      <c r="O13" s="70" t="s">
        <v>88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09"/>
      <c r="L14" s="166"/>
      <c r="M14" s="109"/>
      <c r="N14" s="109"/>
      <c r="O14" s="70" t="s">
        <v>89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634444.52999999991</v>
      </c>
      <c r="K15" s="109"/>
      <c r="L15" s="166"/>
      <c r="M15" s="109"/>
      <c r="N15" s="109"/>
      <c r="O15" s="70" t="s">
        <v>90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634444.52999999991</v>
      </c>
      <c r="K16" s="109"/>
      <c r="L16" s="166"/>
      <c r="M16" s="109"/>
      <c r="N16" s="109"/>
      <c r="O16" s="70" t="s">
        <v>91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09"/>
      <c r="L17" s="166"/>
      <c r="M17" s="109"/>
      <c r="N17" s="109"/>
      <c r="O17" s="70" t="s">
        <v>92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09"/>
      <c r="L18" s="166"/>
      <c r="M18" s="109"/>
      <c r="N18" s="109"/>
      <c r="O18" s="70" t="s">
        <v>93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09"/>
      <c r="L19" s="166"/>
      <c r="M19" s="109"/>
      <c r="N19" s="109"/>
      <c r="O19" s="70" t="s">
        <v>94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09"/>
      <c r="L20" s="166"/>
      <c r="M20" s="109"/>
      <c r="N20" s="109"/>
      <c r="O20" s="70" t="s">
        <v>95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634444.52999999991</v>
      </c>
      <c r="K21" s="109"/>
      <c r="L21" s="166"/>
      <c r="M21" s="109"/>
      <c r="N21" s="109"/>
      <c r="O21" s="70" t="s">
        <v>96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09"/>
      <c r="L22" s="166"/>
      <c r="M22" s="109"/>
      <c r="N22" s="109"/>
      <c r="O22" s="70" t="s">
        <v>97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09"/>
      <c r="L23" s="166"/>
      <c r="M23" s="109"/>
      <c r="N23" s="109"/>
      <c r="O23" s="70" t="s">
        <v>98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216579.12800000003</v>
      </c>
      <c r="K24" s="109"/>
      <c r="L24" s="166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6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158095.20000000001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09"/>
      <c r="L28" s="16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5">
        <f>VLOOKUP(A29,ПТО!$A$39:$D$53,2,FALSE)</f>
        <v>126412.8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09"/>
      <c r="L29" s="167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46573.08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09"/>
      <c r="L30" s="16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38018.879999999997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09"/>
      <c r="L31" s="16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09"/>
      <c r="L32" s="16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12672.96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09"/>
      <c r="L33" s="16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50375.040000000001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09"/>
      <c r="L34" s="16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0" t="str">
        <f>ПТО!A46</f>
        <v>Работы по содержанию лифта (лифтов)</v>
      </c>
      <c r="B35" s="150"/>
      <c r="C35" s="150"/>
      <c r="D35" s="150"/>
      <c r="E35" s="150"/>
      <c r="F35" s="155">
        <f>VLOOKUP(A35,ПТО!$A$39:$D$53,2,FALSE)</f>
        <v>53860.08</v>
      </c>
      <c r="G35" s="155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09"/>
      <c r="L35" s="167"/>
      <c r="M35" s="116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09"/>
      <c r="L36" s="167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09"/>
      <c r="L37" s="167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09"/>
      <c r="L38" s="167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09"/>
      <c r="L39" s="167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09"/>
      <c r="L40" s="167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09"/>
      <c r="L41" s="167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09"/>
      <c r="L42" s="167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освидетельствование лифта.</v>
      </c>
      <c r="B43" s="150"/>
      <c r="C43" s="150"/>
      <c r="D43" s="150"/>
      <c r="E43" s="150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09"/>
      <c r="L43" s="167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0" t="str">
        <f>ПТО!A3</f>
        <v>Установка доводчика на тамбурную дверь.</v>
      </c>
      <c r="B44" s="150"/>
      <c r="C44" s="150"/>
      <c r="D44" s="150"/>
      <c r="E44" s="150"/>
      <c r="F44" s="155">
        <f>VLOOKUP(A44,ПТО!$A$2:$D$31,4,FALSE)</f>
        <v>1500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09"/>
      <c r="L44" s="167"/>
      <c r="M44" s="116"/>
      <c r="N44" s="109"/>
      <c r="O44" s="23" t="str">
        <f t="shared" si="1"/>
        <v>Установка доводчика на тамбурную дверь.</v>
      </c>
      <c r="R44" s="22" t="s">
        <v>72</v>
      </c>
    </row>
    <row r="45" spans="1:18" ht="51" customHeight="1" outlineLevel="1">
      <c r="A45" s="150" t="str">
        <f>ПТО!A4</f>
        <v>Замена запорной арматуры и аварийного участка в тепловом пункте.</v>
      </c>
      <c r="B45" s="150"/>
      <c r="C45" s="150"/>
      <c r="D45" s="150"/>
      <c r="E45" s="150"/>
      <c r="F45" s="155">
        <f>VLOOKUP(A45,ПТО!$A$2:$D$31,4,FALSE)</f>
        <v>9928.1299999999992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09"/>
      <c r="L45" s="167"/>
      <c r="M45" s="116"/>
      <c r="N45" s="109"/>
      <c r="O45" s="23" t="str">
        <f t="shared" si="1"/>
        <v>Замена запорной арматуры и аварийного участка в тепловом пункте.</v>
      </c>
      <c r="R45" s="22" t="s">
        <v>72</v>
      </c>
    </row>
    <row r="46" spans="1:18" ht="51" customHeight="1" outlineLevel="1">
      <c r="A46" s="150" t="str">
        <f>ПТО!A5</f>
        <v>Ремонт подъезда (1 этаж).</v>
      </c>
      <c r="B46" s="150"/>
      <c r="C46" s="150"/>
      <c r="D46" s="150"/>
      <c r="E46" s="150"/>
      <c r="F46" s="155">
        <f>VLOOKUP(A46,ПТО!$A$2:$D$31,4,FALSE)</f>
        <v>165182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09"/>
      <c r="L46" s="167"/>
      <c r="M46" s="116"/>
      <c r="N46" s="109"/>
      <c r="O46" s="23" t="str">
        <f t="shared" si="1"/>
        <v>Ремонт подъезда (1 этаж).</v>
      </c>
      <c r="R46" s="22" t="s">
        <v>72</v>
      </c>
    </row>
    <row r="47" spans="1:18" ht="51" customHeight="1" outlineLevel="1">
      <c r="A47" s="150" t="str">
        <f>ПТО!A6</f>
        <v>Ремонт лифта  (правка створок дверей шахты, кабины с заменой башмаков и роликов подвеса).</v>
      </c>
      <c r="B47" s="150"/>
      <c r="C47" s="150"/>
      <c r="D47" s="150"/>
      <c r="E47" s="150"/>
      <c r="F47" s="155">
        <f>VLOOKUP(A47,ПТО!$A$2:$D$31,4,FALSE)</f>
        <v>15339.38</v>
      </c>
      <c r="G47" s="155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09"/>
      <c r="L47" s="167"/>
      <c r="M47" s="116"/>
      <c r="N47" s="109"/>
      <c r="O47" s="23" t="str">
        <f t="shared" si="1"/>
        <v>Ремонт лифта  (правка створок дверей шахты, кабины с заменой башмаков и роликов подвеса).</v>
      </c>
      <c r="R47" s="22" t="s">
        <v>72</v>
      </c>
    </row>
    <row r="48" spans="1:18" ht="51" customHeight="1" outlineLevel="1">
      <c r="A48" s="150" t="str">
        <f>ПТО!A7</f>
        <v>Приобретение и установка светодиодного светильника в кабину лифта.</v>
      </c>
      <c r="B48" s="150"/>
      <c r="C48" s="150"/>
      <c r="D48" s="150"/>
      <c r="E48" s="150"/>
      <c r="F48" s="155">
        <f>VLOOKUP(A48,ПТО!$A$2:$D$31,4,FALSE)</f>
        <v>7490</v>
      </c>
      <c r="G48" s="155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09"/>
      <c r="L48" s="167"/>
      <c r="M48" s="116"/>
      <c r="N48" s="109"/>
      <c r="O48" s="23" t="str">
        <f t="shared" si="1"/>
        <v>Приобретение и установка светодиодного светильника в кабину лифта.</v>
      </c>
      <c r="R48" s="22" t="s">
        <v>72</v>
      </c>
    </row>
    <row r="49" spans="1:18" ht="51" customHeight="1" outlineLevel="1">
      <c r="A49" s="150" t="str">
        <f>ПТО!A8</f>
        <v>Механизированная уборка и вывоз снега с придомовой территории.</v>
      </c>
      <c r="B49" s="150"/>
      <c r="C49" s="150"/>
      <c r="D49" s="150"/>
      <c r="E49" s="150"/>
      <c r="F49" s="155">
        <f>VLOOKUP(A49,ПТО!$A$2:$D$31,4,FALSE)</f>
        <v>11293</v>
      </c>
      <c r="G49" s="155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09"/>
      <c r="L49" s="167"/>
      <c r="M49" s="116"/>
      <c r="N49" s="109"/>
      <c r="O49" s="23" t="str">
        <f t="shared" si="1"/>
        <v>Механизированная уборка и вывоз снега с придомовой территории.</v>
      </c>
      <c r="R49" s="22" t="s">
        <v>72</v>
      </c>
    </row>
    <row r="50" spans="1:18" ht="51" customHeight="1" outlineLevel="1">
      <c r="A50" s="150" t="str">
        <f>ПТО!A9</f>
        <v>Монтаж камеры системы видеонаблюдения (1 шт.)</v>
      </c>
      <c r="B50" s="150"/>
      <c r="C50" s="150"/>
      <c r="D50" s="150"/>
      <c r="E50" s="150"/>
      <c r="F50" s="155">
        <f>VLOOKUP(A50,ПТО!$A$2:$D$31,4,FALSE)</f>
        <v>31021</v>
      </c>
      <c r="G50" s="155"/>
      <c r="H50" s="25" t="str">
        <f>VLOOKUP(A50,ПТО!$A$2:$D$31,2,FALSE)</f>
        <v>разово</v>
      </c>
      <c r="I50" s="151">
        <f>VLOOKUP(A50,ПТО!$A$2:$D$31,3,FALSE)</f>
        <v>1</v>
      </c>
      <c r="J50" s="151"/>
      <c r="K50" s="109"/>
      <c r="L50" s="167"/>
      <c r="M50" s="116"/>
      <c r="N50" s="109"/>
      <c r="O50" s="23" t="str">
        <f t="shared" si="1"/>
        <v>Монтаж камеры системы видеонаблюдения (1 шт.)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09"/>
      <c r="L51" s="167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09"/>
      <c r="L52" s="167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09"/>
      <c r="L53" s="167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09"/>
      <c r="L54" s="167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09"/>
      <c r="L55" s="167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09"/>
      <c r="L56" s="167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09"/>
      <c r="L57" s="167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09"/>
      <c r="L58" s="167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09"/>
      <c r="L59" s="167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09"/>
      <c r="L60" s="167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09"/>
      <c r="L61" s="167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09"/>
      <c r="L62" s="167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09"/>
      <c r="L63" s="167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09"/>
      <c r="L64" s="167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09"/>
      <c r="L65" s="167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09"/>
      <c r="L66" s="167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09"/>
      <c r="L67" s="167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09"/>
      <c r="L68" s="167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09"/>
      <c r="L69" s="167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09"/>
      <c r="L70" s="167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6"/>
      <c r="L71" s="167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09"/>
      <c r="L72" s="167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09"/>
      <c r="L75" s="170"/>
      <c r="M75" s="109"/>
      <c r="N75" s="109"/>
      <c r="O75" s="70" t="s">
        <v>100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09"/>
      <c r="L76" s="170"/>
      <c r="M76" s="109"/>
      <c r="N76" s="109"/>
      <c r="O76" s="70" t="s">
        <v>101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09"/>
      <c r="L77" s="170"/>
      <c r="M77" s="109"/>
      <c r="N77" s="109"/>
      <c r="O77" s="70" t="s">
        <v>102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09"/>
      <c r="L78" s="170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7">
        <f t="shared" ref="J81:J90" si="2">VLOOKUP(O81,АО,3,FALSE)</f>
        <v>0</v>
      </c>
      <c r="K81" s="109"/>
      <c r="L81" s="156"/>
      <c r="M81" s="109"/>
      <c r="N81" s="109"/>
      <c r="O81" s="70" t="s">
        <v>104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7">
        <f t="shared" si="2"/>
        <v>0</v>
      </c>
      <c r="K82" s="109"/>
      <c r="L82" s="156"/>
      <c r="M82" s="109"/>
      <c r="N82" s="109"/>
      <c r="O82" s="70" t="s">
        <v>105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56243.02</v>
      </c>
      <c r="K83" s="109"/>
      <c r="L83" s="156"/>
      <c r="M83" s="109"/>
      <c r="N83" s="109"/>
      <c r="O83" s="70" t="s">
        <v>106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09"/>
      <c r="L84" s="156"/>
      <c r="M84" s="109"/>
      <c r="N84" s="109"/>
      <c r="O84" s="70" t="s">
        <v>107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09"/>
      <c r="L85" s="156"/>
      <c r="M85" s="109"/>
      <c r="N85" s="109"/>
      <c r="O85" s="70" t="s">
        <v>108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51950</v>
      </c>
      <c r="K86" s="109"/>
      <c r="L86" s="156"/>
      <c r="M86" s="109"/>
      <c r="N86" s="109"/>
      <c r="O86" s="70" t="s">
        <v>109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09"/>
      <c r="L87" s="156"/>
      <c r="M87" s="109"/>
      <c r="N87" s="109"/>
      <c r="O87" s="70" t="s">
        <v>110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09"/>
      <c r="L88" s="156"/>
      <c r="M88" s="109"/>
      <c r="N88" s="109"/>
      <c r="O88" s="70" t="s">
        <v>111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09"/>
      <c r="L89" s="156"/>
      <c r="M89" s="109"/>
      <c r="N89" s="109"/>
      <c r="O89" s="70" t="s">
        <v>112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09"/>
      <c r="L90" s="156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09"/>
      <c r="L93" s="109"/>
      <c r="M93" s="109"/>
      <c r="N93" s="109"/>
    </row>
    <row r="94" spans="1:15" hidden="1" outlineLevel="1">
      <c r="A94" s="152">
        <f>IF(VLOOKUP("эл",АО,3,FALSE)&gt;0,"Электроснабжение",0)</f>
        <v>0</v>
      </c>
      <c r="B94" s="152"/>
      <c r="C94" s="152"/>
      <c r="D94" s="153">
        <f>IF(VLOOKUP("эл",АО,3,FALSE)&gt;0,VLOOKUP("эл",АО,3,FALSE),0)</f>
        <v>0</v>
      </c>
      <c r="E94" s="153"/>
      <c r="F94" s="13">
        <f>IF(VLOOKUP("эл",АО,3,FALSE)&gt;0,VLOOKUP("эл",АО,4,FALSE),0)</f>
        <v>0</v>
      </c>
      <c r="G94" s="154">
        <f>VLOOKUP("эл",АО,5,FALSE)</f>
        <v>0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hidden="1" outlineLevel="2">
      <c r="A95" s="169">
        <f>IF(VLOOKUP("эл",АО,3,FALSE)&gt;0,VLOOKUP("эл1",АО,2,FALSE),0)</f>
        <v>0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0</v>
      </c>
      <c r="L95" s="157"/>
      <c r="O95" s="1" t="s">
        <v>114</v>
      </c>
    </row>
    <row r="96" spans="1:15" hidden="1" outlineLevel="2">
      <c r="A96" s="169">
        <f>IF(VLOOKUP("эл",АО,3,FALSE)&gt;0,VLOOKUP("эл2",АО,2,FALSE),0)</f>
        <v>0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0</v>
      </c>
      <c r="L96" s="157"/>
      <c r="O96" s="1" t="s">
        <v>115</v>
      </c>
    </row>
    <row r="97" spans="1:15" hidden="1" outlineLevel="2">
      <c r="A97" s="169">
        <f>IF(VLOOKUP("эл",АО,3,FALSE)&gt;0,VLOOKUP("эл3",АО,2,FALSE),0)</f>
        <v>0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0</v>
      </c>
      <c r="L97" s="157"/>
      <c r="O97" s="1" t="s">
        <v>116</v>
      </c>
    </row>
    <row r="98" spans="1:15" ht="37.5" hidden="1" customHeight="1" outlineLevel="2">
      <c r="A98" s="169">
        <f>IF(VLOOKUP("эл",АО,3,FALSE)&gt;0,VLOOKUP("эл4",АО,2,FALSE),0)</f>
        <v>0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0</v>
      </c>
      <c r="L98" s="157"/>
      <c r="O98" s="1" t="s">
        <v>117</v>
      </c>
    </row>
    <row r="99" spans="1:15" hidden="1" outlineLevel="2">
      <c r="A99" s="169">
        <f>IF(VLOOKUP("эл",АО,3,FALSE)&gt;0,VLOOKUP("эл5",АО,2,FALSE),0)</f>
        <v>0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0</v>
      </c>
      <c r="L99" s="157"/>
      <c r="O99" s="1" t="s">
        <v>118</v>
      </c>
    </row>
    <row r="100" spans="1:15" ht="39" hidden="1" customHeight="1" outlineLevel="2">
      <c r="A100" s="169">
        <f>IF(VLOOKUP("эл",АО,3,FALSE)&gt;0,VLOOKUP("эл6",АО,2,FALSE),0)</f>
        <v>0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119</v>
      </c>
    </row>
    <row r="101" spans="1:15" ht="34.5" hidden="1" customHeight="1" outlineLevel="2">
      <c r="A101" s="169">
        <f>IF(VLOOKUP("эл",АО,3,FALSE)&gt;0,VLOOKUP("эл7",АО,2,FALSE),0)</f>
        <v>0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120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86923.76999999996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5795.4899233476963</v>
      </c>
      <c r="L103" s="157"/>
      <c r="O103" s="1" t="s">
        <v>123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88865.99</v>
      </c>
      <c r="L104" s="157"/>
      <c r="O104" s="1" t="s">
        <v>124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0</v>
      </c>
      <c r="L105" s="157"/>
      <c r="O105" s="1" t="s">
        <v>125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86923.76999999996</v>
      </c>
      <c r="L106" s="157"/>
      <c r="O106" s="1" t="s">
        <v>126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86923.76999999996</v>
      </c>
      <c r="L107" s="157"/>
      <c r="O107" s="1" t="s">
        <v>127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128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129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105659.42000000003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6347.9719736948946</v>
      </c>
      <c r="L111" s="157"/>
      <c r="O111" s="1" t="s">
        <v>131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107846.71999999999</v>
      </c>
      <c r="L112" s="157"/>
      <c r="O112" s="1" t="s">
        <v>132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57"/>
      <c r="O113" s="1" t="s">
        <v>133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105659.42000000003</v>
      </c>
      <c r="L114" s="157"/>
      <c r="O114" s="1" t="s">
        <v>134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105659.42000000003</v>
      </c>
      <c r="L115" s="157"/>
      <c r="O115" s="1" t="s">
        <v>135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136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137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3" t="str">
        <f>IF(VLOOKUP("тко",АО,3,FALSE)&gt;0,VLOOKUP("тко",АО,3,FALSE),0)</f>
        <v>Предоставляется</v>
      </c>
      <c r="E118" s="153"/>
      <c r="F118" s="13" t="str">
        <f>IF(VLOOKUP("тко",АО,3,FALSE)&gt;0,VLOOKUP("тко",АО,4,FALSE),0)</f>
        <v>куб.м.</v>
      </c>
      <c r="G118" s="154">
        <f>VLOOKUP("тко",АО,5,FALSE)</f>
        <v>102552.61999999995</v>
      </c>
      <c r="H118" s="153"/>
      <c r="I118" s="153"/>
      <c r="J118" s="153"/>
      <c r="L118" s="47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201.77795406281092</v>
      </c>
      <c r="L119" s="47"/>
      <c r="O119" s="1" t="s">
        <v>139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102716.11999999997</v>
      </c>
      <c r="L120" s="47"/>
      <c r="O120" s="1" t="s">
        <v>140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102552.61999999995</v>
      </c>
      <c r="L122" s="47"/>
      <c r="O122" s="1" t="s">
        <v>142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102552.61999999995</v>
      </c>
      <c r="L123" s="47"/>
      <c r="O123" s="1" t="s">
        <v>143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2">
        <f>IF(VLOOKUP("гвс",АО,3,FALSE)&gt;0,"Горячее водоснабжение",0)</f>
        <v>0</v>
      </c>
      <c r="B126" s="152"/>
      <c r="C126" s="152"/>
      <c r="D126" s="153">
        <f>IF(VLOOKUP("гвс",АО,3,FALSE)&gt;0,VLOOKUP("гвс",АО,3,FALSE),0)</f>
        <v>0</v>
      </c>
      <c r="E126" s="153"/>
      <c r="F126" s="13">
        <f>IF(VLOOKUP("гвс",АО,3,FALSE)&gt;0,VLOOKUP("гвс",АО,4,FALSE),0)</f>
        <v>0</v>
      </c>
      <c r="G126" s="154">
        <f>VLOOKUP("гвс",АО,5,FALSE)</f>
        <v>0</v>
      </c>
      <c r="H126" s="153"/>
      <c r="I126" s="153"/>
      <c r="J126" s="153"/>
      <c r="L126" s="47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7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171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19</v>
      </c>
      <c r="L145" s="15"/>
      <c r="O145" t="s">
        <v>172</v>
      </c>
    </row>
    <row r="146" spans="1:15" ht="30" customHeight="1" outlineLevel="1">
      <c r="A146" s="148" t="s">
        <v>174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173</v>
      </c>
    </row>
    <row r="149" spans="1:15" ht="52.5" customHeight="1">
      <c r="A149" s="173" t="s">
        <v>181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75" t="s">
        <v>183</v>
      </c>
      <c r="B154" s="175"/>
      <c r="C154" s="175"/>
      <c r="D154" s="175"/>
      <c r="E154" s="27">
        <f>ПТО!G1</f>
        <v>-101311.41</v>
      </c>
    </row>
    <row r="155" spans="1:15" ht="34.5" customHeight="1">
      <c r="A155" s="174" t="s">
        <v>187</v>
      </c>
      <c r="B155" s="174"/>
      <c r="C155" s="174"/>
      <c r="D155" s="174"/>
      <c r="E155" s="28">
        <f>J13</f>
        <v>150174.576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освидетельствование лифта.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0" t="str">
        <f t="shared" si="14"/>
        <v>Установка доводчика на тамбурную дверь.</v>
      </c>
      <c r="B159" s="150"/>
      <c r="C159" s="150"/>
      <c r="D159" s="150"/>
      <c r="E159" s="150"/>
      <c r="F159" s="155">
        <f t="shared" si="15"/>
        <v>1500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Установка доводчика на тамбурную дверь.</v>
      </c>
    </row>
    <row r="160" spans="1:15" ht="28.5" customHeight="1">
      <c r="A160" s="150" t="str">
        <f t="shared" si="14"/>
        <v>Замена запорной арматуры и аварийного участка в тепловом пункте.</v>
      </c>
      <c r="B160" s="150"/>
      <c r="C160" s="150"/>
      <c r="D160" s="150"/>
      <c r="E160" s="150"/>
      <c r="F160" s="155">
        <f t="shared" si="15"/>
        <v>9928.1299999999992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Замена запорной арматуры и аварийного участка в тепловом пункте.</v>
      </c>
    </row>
    <row r="161" spans="1:14" ht="28.5" customHeight="1">
      <c r="A161" s="150" t="str">
        <f>IF(N161&gt;0,N161,0)</f>
        <v>Ремонт подъезда (1 этаж).</v>
      </c>
      <c r="B161" s="150"/>
      <c r="C161" s="150"/>
      <c r="D161" s="150"/>
      <c r="E161" s="150"/>
      <c r="F161" s="155">
        <f t="shared" si="15"/>
        <v>165182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Ремонт подъезда (1 этаж).</v>
      </c>
    </row>
    <row r="162" spans="1:14" ht="28.5" customHeight="1">
      <c r="A162" s="150" t="str">
        <f t="shared" si="14"/>
        <v>Ремонт лифта  (правка створок дверей шахты, кабины с заменой башмаков и роликов подвеса).</v>
      </c>
      <c r="B162" s="150"/>
      <c r="C162" s="150"/>
      <c r="D162" s="150"/>
      <c r="E162" s="150"/>
      <c r="F162" s="155">
        <f t="shared" si="15"/>
        <v>15339.38</v>
      </c>
      <c r="G162" s="155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Ремонт лифта  (правка створок дверей шахты, кабины с заменой башмаков и роликов подвеса).</v>
      </c>
    </row>
    <row r="163" spans="1:14" ht="28.5" customHeight="1">
      <c r="A163" s="150" t="str">
        <f t="shared" si="14"/>
        <v>Приобретение и установка светодиодного светильника в кабину лифта.</v>
      </c>
      <c r="B163" s="150"/>
      <c r="C163" s="150"/>
      <c r="D163" s="150"/>
      <c r="E163" s="150"/>
      <c r="F163" s="155">
        <f t="shared" si="15"/>
        <v>7490</v>
      </c>
      <c r="G163" s="155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Приобретение и установка светодиодного светильника в кабину лифта.</v>
      </c>
    </row>
    <row r="164" spans="1:14" ht="28.5" customHeight="1">
      <c r="A164" s="150" t="str">
        <f t="shared" ref="A164:A187" si="18">IF(N164&gt;0,N164,0)</f>
        <v>Механизированная уборка и вывоз снега с придомовой территории.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11293</v>
      </c>
      <c r="G164" s="155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Механизированная уборка и вывоз снега с придомовой территории.</v>
      </c>
    </row>
    <row r="165" spans="1:14" ht="28.5" customHeight="1">
      <c r="A165" s="150" t="str">
        <f t="shared" si="18"/>
        <v>Монтаж камеры системы видеонаблюдения (1 шт.)</v>
      </c>
      <c r="B165" s="150"/>
      <c r="C165" s="150"/>
      <c r="D165" s="150"/>
      <c r="E165" s="150"/>
      <c r="F165" s="155">
        <f t="shared" si="19"/>
        <v>31021</v>
      </c>
      <c r="G165" s="155"/>
      <c r="H165" s="29" t="str">
        <f t="shared" si="16"/>
        <v>разово</v>
      </c>
      <c r="I165" s="151">
        <f t="shared" si="20"/>
        <v>1</v>
      </c>
      <c r="J165" s="151"/>
      <c r="M165" s="22" t="s">
        <v>72</v>
      </c>
      <c r="N165" s="1" t="str">
        <v>Монтаж камеры системы видеонаблюдения (1 шт.)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5" t="s">
        <v>186</v>
      </c>
      <c r="B190" s="175"/>
      <c r="C190" s="175"/>
      <c r="D190" s="175"/>
      <c r="E190" s="27">
        <f>SUM(F158:G187)</f>
        <v>249853.51</v>
      </c>
    </row>
    <row r="191" spans="1:14" ht="51.75" customHeight="1">
      <c r="A191" s="175" t="s">
        <v>185</v>
      </c>
      <c r="B191" s="175"/>
      <c r="C191" s="175"/>
      <c r="D191" s="175"/>
      <c r="E191" s="27">
        <f>E190+E154-E155</f>
        <v>-1632.4759999999951</v>
      </c>
    </row>
    <row r="192" spans="1:14">
      <c r="A192" s="104" t="s">
        <v>175</v>
      </c>
    </row>
    <row r="193" spans="1:10" ht="62.25" customHeight="1">
      <c r="A193" s="149" t="s">
        <v>184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49">
        <f>ПТО!G12</f>
        <v>1200</v>
      </c>
      <c r="I194" s="50" t="s">
        <v>75</v>
      </c>
    </row>
    <row r="195" spans="1:10" ht="18.75" customHeight="1">
      <c r="A195" s="147" t="str">
        <f>ПТО!F13</f>
        <v xml:space="preserve">  -  техническое освидетельствование лифта</v>
      </c>
      <c r="B195" s="147"/>
      <c r="C195" s="147"/>
      <c r="D195" s="147"/>
      <c r="E195" s="147"/>
      <c r="F195" s="147"/>
      <c r="G195" s="147"/>
      <c r="H195" s="49">
        <f>ПТО!G13</f>
        <v>8100</v>
      </c>
      <c r="I195" s="50" t="s">
        <v>75</v>
      </c>
    </row>
    <row r="196" spans="1:10" ht="18.75" customHeight="1">
      <c r="A196" s="147" t="str">
        <f>ПТО!F14</f>
        <v xml:space="preserve">  -  монтаж греющего кабеля на кровле</v>
      </c>
      <c r="B196" s="147"/>
      <c r="C196" s="147"/>
      <c r="D196" s="147"/>
      <c r="E196" s="147"/>
      <c r="F196" s="147"/>
      <c r="G196" s="147"/>
      <c r="H196" s="49">
        <f>ПТО!G14</f>
        <v>150000</v>
      </c>
      <c r="I196" s="50" t="s">
        <v>75</v>
      </c>
    </row>
    <row r="197" spans="1:10" ht="33" customHeight="1">
      <c r="A197" s="147" t="str">
        <f>ПТО!F15</f>
        <v xml:space="preserve">  -  механизированная уборка и вывоз снега с придомовой территории</v>
      </c>
      <c r="B197" s="147"/>
      <c r="C197" s="147"/>
      <c r="D197" s="147"/>
      <c r="E197" s="147"/>
      <c r="F197" s="147"/>
      <c r="G197" s="147"/>
      <c r="H197" s="49">
        <f>ПТО!G15</f>
        <v>12000</v>
      </c>
      <c r="I197" s="50" t="s">
        <v>75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49">
        <f>ПТО!G16</f>
        <v>0</v>
      </c>
      <c r="I198" s="52" t="s">
        <v>75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49">
        <f>ПТО!G17</f>
        <v>0</v>
      </c>
      <c r="I199" s="50" t="s">
        <v>75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49">
        <f>ПТО!G18</f>
        <v>0</v>
      </c>
      <c r="I200" s="50" t="s">
        <v>75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49">
        <f>ПТО!G19</f>
        <v>0</v>
      </c>
      <c r="I201" s="50" t="s">
        <v>75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49">
        <f>ПТО!G20</f>
        <v>0</v>
      </c>
      <c r="I202" s="50" t="s">
        <v>75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49">
        <f>ПТО!G21</f>
        <v>0</v>
      </c>
      <c r="I203" s="50" t="s">
        <v>75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49">
        <f>ПТО!G22</f>
        <v>0</v>
      </c>
      <c r="I204" s="50" t="s">
        <v>75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49">
        <f>ПТО!G23</f>
        <v>0</v>
      </c>
      <c r="I205" s="50" t="s">
        <v>75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49">
        <f>ПТО!G24</f>
        <v>0</v>
      </c>
      <c r="I206" s="50" t="s">
        <v>75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49">
        <f>ПТО!G25</f>
        <v>0</v>
      </c>
      <c r="I207" s="50" t="s">
        <v>75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49">
        <f>ПТО!G26</f>
        <v>0</v>
      </c>
      <c r="I208" s="50" t="s">
        <v>75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49">
        <f>ПТО!G27</f>
        <v>0</v>
      </c>
      <c r="I209" s="50" t="s">
        <v>75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49">
        <f>ПТО!G28</f>
        <v>0</v>
      </c>
      <c r="I210" s="50" t="s">
        <v>75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49">
        <f>ПТО!G29</f>
        <v>0</v>
      </c>
      <c r="I211" s="50" t="s">
        <v>75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49">
        <f>ПТО!G30</f>
        <v>0</v>
      </c>
      <c r="I212" s="50" t="s">
        <v>75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171300</v>
      </c>
      <c r="I214" s="56" t="s">
        <v>78</v>
      </c>
    </row>
  </sheetData>
  <sheetProtection algorithmName="SHA-512" hashValue="oxciwTKveHTMH357pyIKEq5TPEIcn8cSQU2ItCpf8NsWTsWBQ+Qy5GpNu6AqsVJOYRMpUwV5Q0KV5SHaHo0m6Q==" saltValue="anjBDRxRYZ4BT/P7+i1n4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8" sqref="F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183</v>
      </c>
      <c r="G1" s="101">
        <f>-101311.41</f>
        <v>-101311.41</v>
      </c>
    </row>
    <row r="2" spans="1:12" ht="18.75" customHeight="1">
      <c r="A2" s="142" t="s">
        <v>73</v>
      </c>
      <c r="B2" s="143" t="s">
        <v>179</v>
      </c>
      <c r="C2" s="143">
        <v>1</v>
      </c>
      <c r="D2" s="144">
        <v>8100</v>
      </c>
      <c r="E2" s="145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8" t="s">
        <v>188</v>
      </c>
      <c r="B3" s="119" t="s">
        <v>189</v>
      </c>
      <c r="C3" s="119">
        <v>1</v>
      </c>
      <c r="D3" s="120">
        <v>1500</v>
      </c>
      <c r="E3" s="121" t="s">
        <v>190</v>
      </c>
      <c r="F3" s="30"/>
      <c r="G3" s="30"/>
      <c r="L3" s="33" t="str">
        <f t="shared" si="0"/>
        <v>ТР</v>
      </c>
    </row>
    <row r="4" spans="1:12" ht="18.75" customHeight="1">
      <c r="A4" s="118" t="s">
        <v>192</v>
      </c>
      <c r="B4" s="119" t="s">
        <v>189</v>
      </c>
      <c r="C4" s="123">
        <v>1</v>
      </c>
      <c r="D4" s="120">
        <v>9928.1299999999992</v>
      </c>
      <c r="E4" s="121" t="s">
        <v>193</v>
      </c>
      <c r="F4" s="30"/>
      <c r="G4" s="30"/>
      <c r="L4" s="33" t="str">
        <f t="shared" si="0"/>
        <v>ТР</v>
      </c>
    </row>
    <row r="5" spans="1:12" ht="18.75" customHeight="1">
      <c r="A5" s="118" t="s">
        <v>191</v>
      </c>
      <c r="B5" s="119" t="s">
        <v>189</v>
      </c>
      <c r="C5" s="123">
        <v>1</v>
      </c>
      <c r="D5" s="120">
        <v>165182</v>
      </c>
      <c r="E5" s="121" t="s">
        <v>194</v>
      </c>
      <c r="F5" s="44"/>
      <c r="G5" s="44"/>
      <c r="K5" s="46"/>
      <c r="L5" s="33" t="str">
        <f t="shared" si="0"/>
        <v>ТР</v>
      </c>
    </row>
    <row r="6" spans="1:12" ht="32.25" customHeight="1">
      <c r="A6" s="129" t="s">
        <v>195</v>
      </c>
      <c r="B6" s="126" t="s">
        <v>189</v>
      </c>
      <c r="C6" s="127">
        <v>1</v>
      </c>
      <c r="D6" s="46">
        <v>15339.38</v>
      </c>
      <c r="E6" s="128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32" t="s">
        <v>197</v>
      </c>
      <c r="B7" s="131" t="s">
        <v>189</v>
      </c>
      <c r="C7" s="119">
        <v>1</v>
      </c>
      <c r="D7" s="46">
        <v>7490</v>
      </c>
      <c r="E7" s="130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33" t="s">
        <v>200</v>
      </c>
      <c r="B8" s="134" t="s">
        <v>189</v>
      </c>
      <c r="C8" s="135">
        <v>1</v>
      </c>
      <c r="D8" s="136">
        <v>11293</v>
      </c>
      <c r="E8" s="137" t="s">
        <v>201</v>
      </c>
      <c r="F8" s="45"/>
      <c r="G8" s="45"/>
      <c r="K8" s="43"/>
      <c r="L8" s="33" t="str">
        <f t="shared" si="0"/>
        <v>ТР</v>
      </c>
    </row>
    <row r="9" spans="1:12">
      <c r="A9" s="140" t="s">
        <v>199</v>
      </c>
      <c r="B9" s="141" t="s">
        <v>189</v>
      </c>
      <c r="C9" s="119">
        <v>1</v>
      </c>
      <c r="D9" s="46">
        <v>31021</v>
      </c>
      <c r="E9" s="130" t="s">
        <v>202</v>
      </c>
      <c r="F9" s="44"/>
      <c r="G9" s="44"/>
      <c r="K9" s="43"/>
      <c r="L9" s="33" t="str">
        <f t="shared" si="0"/>
        <v>ТР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184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15.75">
      <c r="A14" s="30"/>
      <c r="F14" s="122" t="s">
        <v>182</v>
      </c>
      <c r="G14" s="113">
        <v>150000</v>
      </c>
      <c r="L14" s="33">
        <f t="shared" si="0"/>
        <v>0</v>
      </c>
    </row>
    <row r="15" spans="1:12" ht="31.5">
      <c r="A15" s="30"/>
      <c r="F15" s="112" t="s">
        <v>204</v>
      </c>
      <c r="G15" s="146">
        <v>12000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158095.20000000001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158095.20000000001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126412.8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126412.8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46573.08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46573.08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38018.879999999997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38018.879999999997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12672.96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12672.96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50375.040000000001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50375.040000000001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53860.08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53860.08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4"/>
      <c r="C47" s="125"/>
      <c r="D47" s="48"/>
      <c r="E47" s="124">
        <v>822.2</v>
      </c>
      <c r="F47" s="124">
        <v>358.7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VRN0rDsoB6TTbo2HD3Tw39Sub/61u2xhx36Ss+R8O0Y9+LqPfsz1RLCt2pEHwy8zj7W8JF6MaDtrhAKBnblONQ==" saltValue="PvH8itTHTR6NAdlglGNli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2640.2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214841.06599999999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636182.59199999995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(14.25+1.09)*12*F1</f>
        <v>486008.01599999995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150174.576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634444.52999999991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634444.52999999991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634444.52999999991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216579.12800000003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106</v>
      </c>
      <c r="B27" s="75" t="s">
        <v>4</v>
      </c>
      <c r="C27" s="86">
        <v>56243.02</v>
      </c>
      <c r="D27" s="81" t="s">
        <v>60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109</v>
      </c>
      <c r="B30" s="75" t="s">
        <v>18</v>
      </c>
      <c r="C30" s="86">
        <f>C27-4293.02</f>
        <v>51950</v>
      </c>
      <c r="D30" s="81" t="s">
        <v>66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76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6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76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86923.76999999996</v>
      </c>
      <c r="F45" s="94" t="s">
        <v>168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5795.4899233476963</v>
      </c>
      <c r="D46" s="94" t="s">
        <v>169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88865.99</v>
      </c>
      <c r="D47" s="94" t="s">
        <v>167</v>
      </c>
      <c r="E47" s="138"/>
      <c r="G47" s="67"/>
      <c r="H47" s="67"/>
      <c r="L47" s="63"/>
      <c r="M47" s="176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138"/>
      <c r="F48" s="139"/>
      <c r="G48" s="67"/>
      <c r="H48" s="67"/>
      <c r="L48" s="63"/>
      <c r="M48" s="176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86923.76999999996</v>
      </c>
      <c r="D49" s="80" t="s">
        <v>59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86923.76999999996</v>
      </c>
      <c r="D50" s="80" t="s">
        <v>59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105659.42000000003</v>
      </c>
      <c r="F53" s="94" t="s">
        <v>168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6347.9719736948946</v>
      </c>
      <c r="D54" s="94" t="s">
        <v>169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107846.71999999999</v>
      </c>
      <c r="D55" s="94" t="s">
        <v>167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105659.42000000003</v>
      </c>
      <c r="D57" s="80" t="s">
        <v>59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105659.42000000003</v>
      </c>
      <c r="D58" s="80" t="s">
        <v>59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102552.61999999995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201.77795406281092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102716.11999999997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102552.61999999995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102552.61999999995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19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2023-03-30T06:13:48Z</dcterms:modified>
</cp:coreProperties>
</file>