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7" i="1"/>
  <c r="A119" i="1"/>
  <c r="A12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4" i="1"/>
  <c r="A174" i="1" s="1"/>
  <c r="I174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8" i="1"/>
  <c r="A178" i="1" s="1"/>
  <c r="I178" i="1" s="1"/>
  <c r="N186" i="1"/>
  <c r="A186" i="1" s="1"/>
  <c r="I186" i="1" s="1"/>
  <c r="N180" i="1"/>
  <c r="A180" i="1" s="1"/>
  <c r="I180" i="1" s="1"/>
  <c r="N184" i="1"/>
  <c r="A184" i="1" s="1"/>
  <c r="I184" i="1" s="1"/>
  <c r="N187" i="1"/>
  <c r="A187" i="1" s="1"/>
  <c r="I187" i="1" s="1"/>
  <c r="N177" i="1"/>
  <c r="A177" i="1" s="1"/>
  <c r="I177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H181" i="1"/>
  <c r="F166" i="1"/>
  <c r="H164" i="1"/>
  <c r="F164" i="1"/>
  <c r="H187" i="1"/>
  <c r="H185" i="1"/>
  <c r="H178" i="1"/>
  <c r="H169" i="1"/>
  <c r="H177" i="1"/>
  <c r="F175" i="1"/>
  <c r="F185" i="1"/>
  <c r="H171" i="1"/>
  <c r="H172" i="1"/>
  <c r="F182" i="1"/>
  <c r="F172" i="1"/>
  <c r="F184" i="1"/>
  <c r="H182" i="1"/>
  <c r="F169" i="1"/>
  <c r="F181" i="1"/>
  <c r="H184" i="1"/>
  <c r="H165" i="1"/>
  <c r="H170" i="1"/>
  <c r="H176" i="1"/>
  <c r="F187" i="1"/>
  <c r="F178" i="1"/>
  <c r="F170" i="1"/>
  <c r="F171" i="1"/>
  <c r="H186" i="1"/>
  <c r="F177" i="1"/>
  <c r="H180" i="1"/>
  <c r="F174" i="1"/>
  <c r="H175" i="1"/>
  <c r="H173" i="1"/>
  <c r="H179" i="1"/>
  <c r="F173" i="1"/>
  <c r="H174" i="1"/>
  <c r="F167" i="1"/>
  <c r="F165" i="1"/>
  <c r="H167" i="1"/>
  <c r="F179" i="1"/>
  <c r="H168" i="1"/>
  <c r="F168" i="1"/>
  <c r="F180" i="1"/>
  <c r="H166" i="1"/>
  <c r="F186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<sst xmlns="http://schemas.openxmlformats.org/spreadsheetml/2006/main" count="574" uniqueCount="216">
  <si>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</si>
  <si>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</si>
  <si>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</si>
  <si>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</si>
  <si>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</si>
  <si>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</si>
  <si>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</si>
  <si>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</si>
  <si>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</si>
  <si>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</si>
  <si>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</si>
  <si>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</si>
  <si>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</si>
  <si>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</si>
  <si>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</si>
  <si>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</si>
  <si>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</si>
  <si>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</si>
  <si>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</si>
  <si>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</si>
  <si>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</si>
  <si>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</si>
  <si>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</si>
  <si>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</si>
  <si>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</si>
  <si>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</si>
  <si>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</si>
  <si>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</si>
  <si>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</si>
  <si>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</si>
  <si>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</si>
  <si>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</si>
  <si>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</si>
  <si>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</si>
  <si>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</si>
  <si>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</si>
  <si>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</si>
  <si>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</si>
  <si>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</si>
  <si>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</si>
  <si>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</si>
  <si>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</si>
  <si>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</si>
  <si>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</si>
  <si>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</si>
  <si>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</si>
  <si>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</si>
  <si>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</si>
  <si>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</si>
  <si>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</si>
  <si>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</si>
  <si>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</si>
  <si>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</si>
  <si>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</si>
  <si>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</si>
  <si>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</si>
  <si>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</si>
  <si>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</si>
  <si>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</si>
  <si>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</si>
  <si>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</si>
  <si>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</si>
  <si>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</si>
  <si>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</si>
  <si>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</si>
  <si>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</si>
  <si>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</si>
  <si>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</si>
  <si>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</si>
  <si>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</si>
  <si>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</si>
  <si>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</si>
  <si>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</si>
  <si>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</si>
  <si>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</si>
  <si>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</si>
  <si>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</si>
  <si>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</si>
  <si>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</si>
  <si>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</si>
  <si>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</si>
  <si>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</si>
  <si>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</si>
  <si>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</si>
  <si>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</si>
  <si>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</si>
  <si>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</si>
  <si>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</si>
  <si>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</si>
  <si>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</si>
  <si>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</si>
  <si>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</si>
  <si>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</si>
  <si>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</si>
  <si>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</si>
  <si>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</si>
  <si>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</si>
  <si>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</si>
  <si>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</si>
  <si>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</si>
  <si>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</si>
  <si>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</si>
  <si>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</si>
  <si>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</si>
  <si>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</si>
  <si>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</si>
  <si>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</si>
  <si>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</si>
  <si>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</si>
  <si>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</si>
  <si>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</si>
  <si>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</si>
  <si>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</si>
  <si>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</si>
  <si>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</si>
  <si>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</si>
  <si>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</si>
  <si>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</si>
  <si>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</si>
  <si>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</si>
  <si>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</si>
  <si>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</si>
  <si>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</si>
  <si>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</si>
  <si>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</si>
  <si>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</si>
  <si>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</si>
  <si>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</si>
  <si>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</si>
  <si>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</si>
  <si>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</si>
  <si>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</si>
  <si>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</si>
  <si>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</si>
  <si>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</si>
  <si>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</si>
  <si>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</si>
  <si>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</si>
  <si>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</si>
  <si>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</si>
  <si>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</si>
  <si>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</si>
  <si>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</si>
  <si>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</si>
  <si>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</si>
  <si>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</si>
  <si>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</si>
  <si>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</si>
  <si>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</si>
  <si>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</si>
  <si>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</si>
  <si>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</si>
  <si>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</si>
  <si>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</si>
  <si>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</si>
  <si>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</si>
  <si>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</si>
  <si>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</si>
  <si>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</si>
  <si>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</si>
  <si>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</si>
  <si>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</si>
  <si>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</si>
  <si>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</si>
  <si>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</si>
  <si>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</si>
  <si>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</si>
  <si>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</si>
  <si>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</si>
  <si>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</si>
  <si>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</si>
  <si>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</si>
  <si>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</si>
  <si>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</si>
  <si>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</si>
  <si>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</si>
  <si>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</si>
  <si>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5/3</t>
  </si>
  <si>
    <t>Работы (услуги) по управлению многоквартирным домом</t>
  </si>
  <si>
    <t>Отчет об исполнении договора управления многоквартирного дома 
Румянцева, 5/3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</si>
  <si>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</si>
  <si>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</si>
  <si>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</si>
  <si>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</si>
  <si>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</si>
  <si>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</si>
  <si>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</si>
  <si>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</si>
  <si>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</si>
  <si>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</si>
  <si>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</si>
  <si>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блока питания системы видеонаблюдения.</t>
  </si>
  <si>
    <t>разово</t>
  </si>
  <si>
    <t>Замена датчиков давления на ТП.</t>
  </si>
  <si>
    <t>АВР 1/21 от 13.05.2021</t>
  </si>
  <si>
    <t>АВР 2/21 от 11.05.2021, Решение, счет №6959 от 11.05.2021</t>
  </si>
  <si>
    <t>Монтаж дополнительных камер системы видеонаблюдения.</t>
  </si>
  <si>
    <t>АВР 4/21 от 15.10.2021, Решение</t>
  </si>
  <si>
    <t>Частичный ремонт отмостки (14,5 м*2).</t>
  </si>
  <si>
    <t>Замена камеры системы видеонаблюдения.</t>
  </si>
  <si>
    <t>АВР 5/21 от 27.09.2021, Решение, счет №15325 от 01.09.2021</t>
  </si>
  <si>
    <t>АВР 6/21 от 19.10.2021, Решение, счет №8557 от 11.10.2021</t>
  </si>
  <si>
    <t>АВР 3/21 от 30.11.2021, Решение, №17173 от 24.09.2021</t>
  </si>
  <si>
    <t>Замена обводной трубы ГВС в ИТП.</t>
  </si>
  <si>
    <t>АВР 7/21 от 30.12.2021,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</si>
  <si>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</si>
  <si>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</si>
  <si>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</si>
  <si>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</si>
  <si>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</si>
  <si>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</si>
  <si>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</si>
  <si>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</si>
  <si>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8/21 от 31.12.2021</t>
  </si>
  <si>
    <t xml:space="preserve">  -  выверка направляющих противовеса лифта</t>
  </si>
  <si>
    <t>Приобретение и замена доводчика на тамбурной двери.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</si>
</sst>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20" fillId="0" borderId="0" xfId="0" applyNumberFormat="1" applyFont="1" applyBorder="1"/>
    <xf numFmtId="0" fontId="21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2" fontId="0" fillId="0" borderId="0" xfId="0" applyNumberFormat="1" applyFill="1" applyBorder="1"/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2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5" fillId="0" borderId="0" xfId="7" applyFont="1" applyFill="1" applyBorder="1" applyAlignment="1"/>
    <xf numFmtId="0" fontId="5" fillId="0" borderId="0" xfId="8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1" fontId="14" fillId="0" borderId="0" xfId="5" applyNumberFormat="1" applyFill="1" applyBorder="1" applyAlignment="1">
      <alignment horizontal="center"/>
    </xf>
    <xf numFmtId="0" fontId="7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4" fontId="28" fillId="0" borderId="0" xfId="5" applyNumberFormat="1" applyFont="1" applyFill="1" applyBorder="1" applyAlignment="1"/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/>
    </xf>
    <xf numFmtId="0" fontId="3" fillId="0" borderId="0" xfId="23" applyFill="1" applyBorder="1" applyAlignment="1">
      <alignment horizontal="center"/>
    </xf>
    <xf numFmtId="4" fontId="3" fillId="0" borderId="0" xfId="23" applyNumberFormat="1" applyFill="1" applyBorder="1" applyAlignment="1"/>
    <xf numFmtId="0" fontId="2" fillId="0" borderId="0" xfId="23" applyFont="1" applyFill="1" applyBorder="1" applyAlignment="1"/>
    <xf numFmtId="4" fontId="0" fillId="0" borderId="0" xfId="0" applyNumberFormat="1" applyBorder="1" applyAlignment="1">
      <alignment horizontal="center"/>
    </xf>
    <xf numFmtId="4" fontId="30" fillId="3" borderId="0" xfId="9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0" xfId="20" applyFont="1" applyFill="1" applyBorder="1" applyAlignment="1"/>
    <xf numFmtId="0" fontId="28" fillId="0" borderId="0" xfId="20" applyFont="1" applyFill="1" applyBorder="1" applyAlignment="1">
      <alignment horizontal="center"/>
    </xf>
    <xf numFmtId="4" fontId="28" fillId="0" borderId="0" xfId="20" applyNumberFormat="1" applyFont="1" applyFill="1" applyBorder="1" applyAlignment="1"/>
    <xf numFmtId="0" fontId="28" fillId="0" borderId="0" xfId="5" applyFont="1" applyFill="1" applyBorder="1" applyAlignment="1"/>
    <xf numFmtId="0" fontId="14" fillId="0" borderId="0" xfId="5" applyFill="1" applyBorder="1" applyAlignment="1">
      <alignment horizontal="center"/>
    </xf>
    <xf numFmtId="4" fontId="14" fillId="0" borderId="0" xfId="5" applyNumberFormat="1" applyFill="1" applyBorder="1" applyAlignment="1"/>
    <xf numFmtId="0" fontId="1" fillId="0" borderId="0" xfId="2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49">
    <cellStyle name="Обычный" xfId="0" builtinId="0"/>
    <cellStyle name="Обычный 2" xfId="1"/>
    <cellStyle name="Обычный 2 2" xfId="3"/>
    <cellStyle name="Обычный 2 3" xfId="13"/>
    <cellStyle name="Обычный 2 3 2" xfId="41"/>
    <cellStyle name="Обычный 2 3 3" xfId="26"/>
    <cellStyle name="Обычный 2 4" xfId="17"/>
    <cellStyle name="Обычный 2 4 2" xfId="45"/>
    <cellStyle name="Обычный 2 5" xfId="9"/>
    <cellStyle name="Обычный 2 5 2" xfId="37"/>
    <cellStyle name="Обычный 2 6" xfId="30"/>
    <cellStyle name="Обычный 2 7" xfId="21"/>
    <cellStyle name="Обычный 3" xfId="2"/>
    <cellStyle name="Обычный 3 2" xfId="7"/>
    <cellStyle name="Обычный 3 2 2" xfId="14"/>
    <cellStyle name="Обычный 3 2 2 2" xfId="42"/>
    <cellStyle name="Обычный 3 2 3" xfId="35"/>
    <cellStyle name="Обычный 3 2 4" xfId="27"/>
    <cellStyle name="Обычный 3 3" xfId="18"/>
    <cellStyle name="Обычный 3 3 2" xfId="46"/>
    <cellStyle name="Обычный 3 4" xfId="10"/>
    <cellStyle name="Обычный 3 4 2" xfId="38"/>
    <cellStyle name="Обычный 3 5" xfId="31"/>
    <cellStyle name="Обычный 3 6" xfId="22"/>
    <cellStyle name="Обычный 4" xfId="4"/>
    <cellStyle name="Обычный 4 2" xfId="8"/>
    <cellStyle name="Обычный 4 2 2" xfId="15"/>
    <cellStyle name="Обычный 4 2 2 2" xfId="43"/>
    <cellStyle name="Обычный 4 2 3" xfId="36"/>
    <cellStyle name="Обычный 4 2 4" xfId="28"/>
    <cellStyle name="Обычный 4 3" xfId="19"/>
    <cellStyle name="Обычный 4 3 2" xfId="47"/>
    <cellStyle name="Обычный 4 4" xfId="11"/>
    <cellStyle name="Обычный 4 4 2" xfId="39"/>
    <cellStyle name="Обычный 4 5" xfId="32"/>
    <cellStyle name="Обычный 4 6" xfId="23"/>
    <cellStyle name="Обычный 5" xfId="5"/>
    <cellStyle name="Обычный 5 2" xfId="16"/>
    <cellStyle name="Обычный 5 2 2" xfId="44"/>
    <cellStyle name="Обычный 5 2 3" xfId="29"/>
    <cellStyle name="Обычный 5 3" xfId="20"/>
    <cellStyle name="Обычный 5 3 2" xfId="48"/>
    <cellStyle name="Обычный 5 3 3" xfId="25"/>
    <cellStyle name="Обычный 5 4" xfId="12"/>
    <cellStyle name="Обычный 5 4 2" xfId="40"/>
    <cellStyle name="Обычный 5 5" xfId="33"/>
    <cellStyle name="Обычный 5 6" xfId="24"/>
    <cellStyle name="Обычный 6" xfId="6"/>
    <cellStyle name="Обычный 6 2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177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7" t="s">
        <v>2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09"/>
      <c r="L8" s="181"/>
      <c r="M8" s="109"/>
      <c r="N8" s="109"/>
      <c r="O8" s="70" t="s">
        <v>83</v>
      </c>
      <c r="R8" s="16"/>
    </row>
    <row r="9" spans="1:18" ht="18.75" customHeight="1" outlineLevel="1">
      <c r="A9" s="177" t="s">
        <v>3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09"/>
      <c r="L9" s="181"/>
      <c r="M9" s="109"/>
      <c r="N9" s="109"/>
      <c r="O9" s="70" t="s">
        <v>84</v>
      </c>
    </row>
    <row r="10" spans="1:18" ht="18.75" customHeight="1" outlineLevel="1">
      <c r="A10" s="177" t="s">
        <v>4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393718.81</v>
      </c>
      <c r="K10" s="109"/>
      <c r="L10" s="181"/>
      <c r="M10" s="109"/>
      <c r="N10" s="109"/>
      <c r="O10" s="70" t="s">
        <v>85</v>
      </c>
    </row>
    <row r="11" spans="1:18" outlineLevel="1">
      <c r="A11" s="177" t="s">
        <v>5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839182.16999999993</v>
      </c>
      <c r="K11" s="109"/>
      <c r="L11" s="181"/>
      <c r="M11" s="109"/>
      <c r="N11" s="109"/>
      <c r="O11" s="70" t="s">
        <v>86</v>
      </c>
    </row>
    <row r="12" spans="1:18" ht="18.75" customHeight="1" outlineLevel="1">
      <c r="A12" s="177" t="s">
        <v>6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676658.37</v>
      </c>
      <c r="K12" s="109"/>
      <c r="L12" s="181"/>
      <c r="M12" s="109"/>
      <c r="N12" s="109"/>
      <c r="O12" s="70" t="s">
        <v>87</v>
      </c>
    </row>
    <row r="13" spans="1:18" ht="18.75" customHeight="1" outlineLevel="1">
      <c r="A13" s="177" t="s">
        <v>7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162523.79999999999</v>
      </c>
      <c r="K13" s="109"/>
      <c r="L13" s="181"/>
      <c r="M13" s="109"/>
      <c r="N13" s="109"/>
      <c r="O13" s="70" t="s">
        <v>88</v>
      </c>
    </row>
    <row r="14" spans="1:18" ht="18.75" customHeight="1" outlineLevel="1">
      <c r="A14" s="177" t="s">
        <v>8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0</v>
      </c>
      <c r="K14" s="109"/>
      <c r="L14" s="181"/>
      <c r="M14" s="109"/>
      <c r="N14" s="109"/>
      <c r="O14" s="70" t="s">
        <v>89</v>
      </c>
    </row>
    <row r="15" spans="1:18" ht="18.75" customHeight="1" outlineLevel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982278.37</v>
      </c>
      <c r="K15" s="109"/>
      <c r="L15" s="181"/>
      <c r="M15" s="109"/>
      <c r="N15" s="109"/>
      <c r="O15" s="70" t="s">
        <v>90</v>
      </c>
    </row>
    <row r="16" spans="1:18" ht="18.75" customHeight="1" outlineLevel="1">
      <c r="A16" s="177" t="s">
        <v>10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982278.37</v>
      </c>
      <c r="K16" s="109"/>
      <c r="L16" s="181"/>
      <c r="M16" s="109"/>
      <c r="N16" s="109"/>
      <c r="O16" s="70" t="s">
        <v>91</v>
      </c>
    </row>
    <row r="17" spans="1:23" ht="18.75" customHeight="1" outlineLevel="1">
      <c r="A17" s="177" t="s">
        <v>11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09"/>
      <c r="L17" s="181"/>
      <c r="M17" s="109"/>
      <c r="N17" s="109"/>
      <c r="O17" s="70" t="s">
        <v>92</v>
      </c>
    </row>
    <row r="18" spans="1:23" ht="18.75" customHeight="1" outlineLevel="1">
      <c r="A18" s="177" t="s">
        <v>12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09"/>
      <c r="L18" s="181"/>
      <c r="M18" s="109"/>
      <c r="N18" s="109"/>
      <c r="O18" s="70" t="s">
        <v>93</v>
      </c>
    </row>
    <row r="19" spans="1:23" ht="18.75" customHeight="1" outlineLevel="1">
      <c r="A19" s="177" t="s">
        <v>13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09"/>
      <c r="L19" s="181"/>
      <c r="M19" s="109"/>
      <c r="N19" s="109"/>
      <c r="O19" s="70" t="s">
        <v>94</v>
      </c>
    </row>
    <row r="20" spans="1:23" ht="18.75" customHeight="1" outlineLevel="1">
      <c r="A20" s="177" t="s">
        <v>14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09"/>
      <c r="L20" s="181"/>
      <c r="M20" s="109"/>
      <c r="N20" s="109"/>
      <c r="O20" s="70" t="s">
        <v>95</v>
      </c>
    </row>
    <row r="21" spans="1:23" ht="18.75" customHeight="1" outlineLevel="1">
      <c r="A21" s="177" t="s">
        <v>15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982278.37</v>
      </c>
      <c r="K21" s="109"/>
      <c r="L21" s="181"/>
      <c r="M21" s="109"/>
      <c r="N21" s="109"/>
      <c r="O21" s="70" t="s">
        <v>96</v>
      </c>
    </row>
    <row r="22" spans="1:23" ht="18.75" customHeight="1" outlineLevel="1">
      <c r="A22" s="177" t="s">
        <v>16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09"/>
      <c r="L22" s="181"/>
      <c r="M22" s="109"/>
      <c r="N22" s="109"/>
      <c r="O22" s="70" t="s">
        <v>97</v>
      </c>
    </row>
    <row r="23" spans="1:23" ht="18.75" customHeight="1" outlineLevel="1">
      <c r="A23" s="177" t="s">
        <v>17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09"/>
      <c r="L23" s="181"/>
      <c r="M23" s="109"/>
      <c r="N23" s="109"/>
      <c r="O23" s="70" t="s">
        <v>98</v>
      </c>
    </row>
    <row r="24" spans="1:23" ht="18.75" customHeight="1" outlineLevel="1">
      <c r="A24" s="177" t="s">
        <v>18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250622.61</v>
      </c>
      <c r="K24" s="109"/>
      <c r="L24" s="181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265816.68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59">
        <f>VLOOKUP(A29,ПТО!$A$39:$D$53,2,FALSE)</f>
        <v>54174.6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42978.48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43339.68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13724.28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67537.679999999993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Работы (услуги) по управлению многоквартирным домом</v>
      </c>
      <c r="B35" s="158"/>
      <c r="C35" s="158"/>
      <c r="D35" s="158"/>
      <c r="E35" s="158"/>
      <c r="F35" s="159">
        <f>VLOOKUP(A35,ПТО!$A$39:$D$53,2,FALSE)</f>
        <v>180582</v>
      </c>
      <c r="G35" s="159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09"/>
      <c r="L35" s="182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58" t="str">
        <f>ПТО!A47</f>
        <v>Коммунальные ресурсы на содержание общего имущества</v>
      </c>
      <c r="B36" s="158"/>
      <c r="C36" s="158"/>
      <c r="D36" s="158"/>
      <c r="E36" s="158"/>
      <c r="F36" s="159">
        <f>VLOOKUP(A36,ПТО!$A$39:$D$53,2,FALSE)</f>
        <v>50680.601099999993</v>
      </c>
      <c r="G36" s="159"/>
      <c r="H36" s="42" t="str">
        <f>VLOOKUP(A36,ПТО!$A$39:$D$53,3,FALSE)</f>
        <v>Ежемесячно</v>
      </c>
      <c r="I36" s="160">
        <f>VLOOKUP(A36,ПТО!$A$39:$D$53,4,FALSE)</f>
        <v>12</v>
      </c>
      <c r="J36" s="160"/>
      <c r="K36" s="109"/>
      <c r="L36" s="182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9"/>
      <c r="L37" s="18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9"/>
      <c r="L38" s="18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9"/>
      <c r="L39" s="18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9"/>
      <c r="L40" s="18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9"/>
      <c r="L41" s="18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9"/>
      <c r="L42" s="18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59">
        <f>VLOOKUP(A43,ПТО!$A$2:$D$31,4,FALSE)</f>
        <v>4100</v>
      </c>
      <c r="G43" s="159"/>
      <c r="H43" s="19" t="str">
        <f>VLOOKUP(A43,ПТО!$A$2:$D$31,2,FALSE)</f>
        <v>ежегодно</v>
      </c>
      <c r="I43" s="160">
        <f>VLOOKUP(A43,ПТО!$A$2:$D$31,3,FALSE)</f>
        <v>1</v>
      </c>
      <c r="J43" s="160"/>
      <c r="K43" s="109"/>
      <c r="L43" s="182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8" t="str">
        <f>ПТО!A3</f>
        <v>Техническое обслуживание охранной сигнализации.</v>
      </c>
      <c r="B44" s="158"/>
      <c r="C44" s="158"/>
      <c r="D44" s="158"/>
      <c r="E44" s="158"/>
      <c r="F44" s="159">
        <f>VLOOKUP(A44,ПТО!$A$2:$D$31,4,FALSE)</f>
        <v>4000</v>
      </c>
      <c r="G44" s="159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09"/>
      <c r="L44" s="18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8" t="str">
        <f>ПТО!A4</f>
        <v>Замена датчиков давления на ТП.</v>
      </c>
      <c r="B45" s="158"/>
      <c r="C45" s="158"/>
      <c r="D45" s="158"/>
      <c r="E45" s="158"/>
      <c r="F45" s="159">
        <f>VLOOKUP(A45,ПТО!$A$2:$D$31,4,FALSE)</f>
        <v>3436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9"/>
      <c r="L45" s="182"/>
      <c r="M45" s="115"/>
      <c r="N45" s="109"/>
      <c r="O45" s="23" t="str">
        <f t="shared" si="1"/>
        <v>Замена датчиков давления на ТП.</v>
      </c>
      <c r="R45" s="22" t="s">
        <v>72</v>
      </c>
    </row>
    <row r="46" spans="1:18" ht="51" customHeight="1" outlineLevel="1">
      <c r="A46" s="158" t="str">
        <f>ПТО!A5</f>
        <v>Замена блока питания системы видеонаблюдения.</v>
      </c>
      <c r="B46" s="158"/>
      <c r="C46" s="158"/>
      <c r="D46" s="158"/>
      <c r="E46" s="158"/>
      <c r="F46" s="159">
        <f>VLOOKUP(A46,ПТО!$A$2:$D$31,4,FALSE)</f>
        <v>3600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9"/>
      <c r="L46" s="182"/>
      <c r="M46" s="115"/>
      <c r="N46" s="109"/>
      <c r="O46" s="23" t="str">
        <f t="shared" si="1"/>
        <v>Замена блока питания системы видеонаблюдения.</v>
      </c>
      <c r="R46" s="22" t="s">
        <v>72</v>
      </c>
    </row>
    <row r="47" spans="1:18" ht="51" customHeight="1" outlineLevel="1">
      <c r="A47" s="158" t="str">
        <f>ПТО!A6</f>
        <v>Монтаж дополнительных камер системы видеонаблюдения.</v>
      </c>
      <c r="B47" s="158"/>
      <c r="C47" s="158"/>
      <c r="D47" s="158"/>
      <c r="E47" s="158"/>
      <c r="F47" s="159">
        <f>VLOOKUP(A47,ПТО!$A$2:$D$31,4,FALSE)</f>
        <v>4752</v>
      </c>
      <c r="G47" s="159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09"/>
      <c r="L47" s="182"/>
      <c r="M47" s="115"/>
      <c r="N47" s="109"/>
      <c r="O47" s="23" t="str">
        <f t="shared" si="1"/>
        <v>Монтаж дополнительных камер системы видеонаблюдения.</v>
      </c>
      <c r="R47" s="22" t="s">
        <v>72</v>
      </c>
    </row>
    <row r="48" spans="1:18" ht="51" customHeight="1" outlineLevel="1">
      <c r="A48" s="158" t="str">
        <f>ПТО!A7</f>
        <v>Частичный ремонт отмостки (14,5 м*2).</v>
      </c>
      <c r="B48" s="158"/>
      <c r="C48" s="158"/>
      <c r="D48" s="158"/>
      <c r="E48" s="158"/>
      <c r="F48" s="159">
        <f>VLOOKUP(A48,ПТО!$A$2:$D$31,4,FALSE)</f>
        <v>23925</v>
      </c>
      <c r="G48" s="159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09"/>
      <c r="L48" s="182"/>
      <c r="M48" s="115"/>
      <c r="N48" s="109"/>
      <c r="O48" s="23" t="str">
        <f t="shared" si="1"/>
        <v>Частичный ремонт отмостки (14,5 м*2).</v>
      </c>
      <c r="R48" s="22" t="s">
        <v>72</v>
      </c>
    </row>
    <row r="49" spans="1:18" ht="51" customHeight="1" outlineLevel="1">
      <c r="A49" s="158" t="str">
        <f>ПТО!A8</f>
        <v>Замена камеры системы видеонаблюдения.</v>
      </c>
      <c r="B49" s="158"/>
      <c r="C49" s="158"/>
      <c r="D49" s="158"/>
      <c r="E49" s="158"/>
      <c r="F49" s="159">
        <f>VLOOKUP(A49,ПТО!$A$2:$D$31,4,FALSE)</f>
        <v>2376</v>
      </c>
      <c r="G49" s="159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09"/>
      <c r="L49" s="182"/>
      <c r="M49" s="115"/>
      <c r="N49" s="109"/>
      <c r="O49" s="23" t="str">
        <f t="shared" si="1"/>
        <v>Замена камеры системы видеонаблюдения.</v>
      </c>
      <c r="R49" s="22" t="s">
        <v>72</v>
      </c>
    </row>
    <row r="50" spans="1:18" ht="51" customHeight="1" outlineLevel="1">
      <c r="A50" s="158" t="str">
        <f>ПТО!A9</f>
        <v>Приобретение и замена доводчика на тамбурной двери.</v>
      </c>
      <c r="B50" s="158"/>
      <c r="C50" s="158"/>
      <c r="D50" s="158"/>
      <c r="E50" s="158"/>
      <c r="F50" s="159">
        <f>VLOOKUP(A50,ПТО!$A$2:$D$31,4,FALSE)</f>
        <v>1619</v>
      </c>
      <c r="G50" s="159"/>
      <c r="H50" s="25" t="str">
        <f>VLOOKUP(A50,ПТО!$A$2:$D$31,2,FALSE)</f>
        <v>разово</v>
      </c>
      <c r="I50" s="160">
        <f>VLOOKUP(A50,ПТО!$A$2:$D$31,3,FALSE)</f>
        <v>1</v>
      </c>
      <c r="J50" s="160"/>
      <c r="K50" s="109"/>
      <c r="L50" s="182"/>
      <c r="M50" s="115"/>
      <c r="N50" s="109"/>
      <c r="O50" s="23" t="str">
        <f t="shared" si="1"/>
        <v>Приобретение и замена доводчика на тамбурной двери.</v>
      </c>
      <c r="R50" s="22" t="s">
        <v>72</v>
      </c>
    </row>
    <row r="51" spans="1:18" ht="51" customHeight="1" outlineLevel="1">
      <c r="A51" s="158" t="str">
        <f>ПТО!A10</f>
        <v>Замена обводной трубы ГВС в ИТП.</v>
      </c>
      <c r="B51" s="158"/>
      <c r="C51" s="158"/>
      <c r="D51" s="158"/>
      <c r="E51" s="158"/>
      <c r="F51" s="159">
        <f>VLOOKUP(A51,ПТО!$A$2:$D$31,4,FALSE)</f>
        <v>2000</v>
      </c>
      <c r="G51" s="159"/>
      <c r="H51" s="25" t="str">
        <f>VLOOKUP(A51,ПТО!$A$2:$D$31,2,FALSE)</f>
        <v>разово</v>
      </c>
      <c r="I51" s="160">
        <f>VLOOKUP(A51,ПТО!$A$2:$D$31,3,FALSE)</f>
        <v>1</v>
      </c>
      <c r="J51" s="160"/>
      <c r="K51" s="109"/>
      <c r="L51" s="182"/>
      <c r="M51" s="115"/>
      <c r="N51" s="109"/>
      <c r="O51" s="23" t="str">
        <f t="shared" si="1"/>
        <v>Замена обводной трубы ГВС в ИТП.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60" t="e">
        <f>VLOOKUP(A52,ПТО!$A$2:$D$31,3,FALSE)</f>
        <v>#N/A</v>
      </c>
      <c r="J52" s="160"/>
      <c r="K52" s="109"/>
      <c r="L52" s="182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09"/>
      <c r="L53" s="182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9"/>
      <c r="L54" s="18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9"/>
      <c r="L55" s="18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9"/>
      <c r="L56" s="18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9"/>
      <c r="L57" s="18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9"/>
      <c r="L58" s="18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9"/>
      <c r="L59" s="18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9"/>
      <c r="L60" s="18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9"/>
      <c r="L61" s="18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9"/>
      <c r="L62" s="18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9"/>
      <c r="L63" s="18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9"/>
      <c r="L64" s="18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9"/>
      <c r="L65" s="18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9"/>
      <c r="L66" s="18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9"/>
      <c r="L67" s="18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9"/>
      <c r="L68" s="18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9"/>
      <c r="L69" s="18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9"/>
      <c r="L70" s="18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9"/>
      <c r="L72" s="18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65"/>
      <c r="M75" s="109"/>
      <c r="N75" s="109"/>
      <c r="O75" s="70" t="s">
        <v>100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65"/>
      <c r="M76" s="109"/>
      <c r="N76" s="109"/>
      <c r="O76" s="70" t="s">
        <v>101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65"/>
      <c r="M77" s="109"/>
      <c r="N77" s="109"/>
      <c r="O77" s="70" t="s">
        <v>102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65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6" t="s">
        <v>2</v>
      </c>
      <c r="B81" s="166"/>
      <c r="C81" s="166"/>
      <c r="D81" s="166"/>
      <c r="E81" s="166"/>
      <c r="F81" s="166"/>
      <c r="G81" s="166"/>
      <c r="H81" s="166"/>
      <c r="I81" s="166"/>
      <c r="J81" s="97">
        <f t="shared" ref="J81:J90" si="2">VLOOKUP(O81,АО,3,FALSE)</f>
        <v>0</v>
      </c>
      <c r="K81" s="109"/>
      <c r="L81" s="183"/>
      <c r="M81" s="109"/>
      <c r="N81" s="109"/>
      <c r="O81" s="70" t="s">
        <v>104</v>
      </c>
    </row>
    <row r="82" spans="1:15" outlineLevel="1">
      <c r="A82" s="166" t="s">
        <v>3</v>
      </c>
      <c r="B82" s="166"/>
      <c r="C82" s="166"/>
      <c r="D82" s="166"/>
      <c r="E82" s="166"/>
      <c r="F82" s="166"/>
      <c r="G82" s="166"/>
      <c r="H82" s="166"/>
      <c r="I82" s="166"/>
      <c r="J82" s="97">
        <f t="shared" si="2"/>
        <v>0</v>
      </c>
      <c r="K82" s="109"/>
      <c r="L82" s="183"/>
      <c r="M82" s="109"/>
      <c r="N82" s="109"/>
      <c r="O82" s="70" t="s">
        <v>105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129047.93</v>
      </c>
      <c r="K83" s="109"/>
      <c r="L83" s="183"/>
      <c r="M83" s="109"/>
      <c r="N83" s="109"/>
      <c r="O83" s="70" t="s">
        <v>106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83"/>
      <c r="M84" s="109"/>
      <c r="N84" s="109"/>
      <c r="O84" s="70" t="s">
        <v>107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83"/>
      <c r="M85" s="109"/>
      <c r="N85" s="109"/>
      <c r="O85" s="70" t="s">
        <v>108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92649.71</v>
      </c>
      <c r="K86" s="109"/>
      <c r="L86" s="183"/>
      <c r="M86" s="109"/>
      <c r="N86" s="109"/>
      <c r="O86" s="70" t="s">
        <v>109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83"/>
      <c r="M87" s="109"/>
      <c r="N87" s="109"/>
      <c r="O87" s="70" t="s">
        <v>110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83"/>
      <c r="M88" s="109"/>
      <c r="N88" s="109"/>
      <c r="O88" s="70" t="s">
        <v>111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83"/>
      <c r="M89" s="109"/>
      <c r="N89" s="109"/>
      <c r="O89" s="70" t="s">
        <v>112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83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7" t="s">
        <v>48</v>
      </c>
      <c r="B93" s="167"/>
      <c r="C93" s="167"/>
      <c r="D93" s="170" t="s">
        <v>49</v>
      </c>
      <c r="E93" s="170"/>
      <c r="F93" s="10" t="s">
        <v>50</v>
      </c>
      <c r="G93" s="167" t="s">
        <v>51</v>
      </c>
      <c r="H93" s="167"/>
      <c r="I93" s="167"/>
      <c r="J93" s="167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198594.73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165495.60999999999</v>
      </c>
      <c r="L95" s="184"/>
      <c r="O95" s="1" t="s">
        <v>114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212979.1</v>
      </c>
      <c r="L96" s="184"/>
      <c r="O96" s="1" t="s">
        <v>115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0</v>
      </c>
      <c r="L97" s="184"/>
      <c r="O97" s="1" t="s">
        <v>116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198594.73</v>
      </c>
      <c r="L98" s="184"/>
      <c r="O98" s="1" t="s">
        <v>117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198594.73</v>
      </c>
      <c r="L99" s="184"/>
      <c r="O99" s="1" t="s">
        <v>118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119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120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67124.990000000005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5085.2299999999996</v>
      </c>
      <c r="L103" s="184"/>
      <c r="O103" s="1" t="s">
        <v>123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70630.83</v>
      </c>
      <c r="L104" s="184"/>
      <c r="O104" s="1" t="s">
        <v>124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0</v>
      </c>
      <c r="L105" s="184"/>
      <c r="O105" s="1" t="s">
        <v>125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67124.990000000005</v>
      </c>
      <c r="L106" s="184"/>
      <c r="O106" s="1" t="s">
        <v>126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67124.990000000005</v>
      </c>
      <c r="L107" s="184"/>
      <c r="O107" s="1" t="s">
        <v>127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128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129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135265.65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8433.02</v>
      </c>
      <c r="L111" s="184"/>
      <c r="O111" s="1" t="s">
        <v>131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141521.19</v>
      </c>
      <c r="L112" s="184"/>
      <c r="O112" s="1" t="s">
        <v>132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0</v>
      </c>
      <c r="L113" s="184"/>
      <c r="O113" s="1" t="s">
        <v>133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135265.65</v>
      </c>
      <c r="L114" s="184"/>
      <c r="O114" s="1" t="s">
        <v>134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135265.65</v>
      </c>
      <c r="L115" s="184"/>
      <c r="O115" s="1" t="s">
        <v>135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136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137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69" t="str">
        <f>IF(VLOOKUP("тко",АО,3,FALSE)&gt;0,VLOOKUP("тко",АО,3,FALSE),0)</f>
        <v>Предоставляется</v>
      </c>
      <c r="E118" s="169"/>
      <c r="F118" s="13" t="str">
        <f>IF(VLOOKUP("тко",АО,3,FALSE)&gt;0,VLOOKUP("тко",АО,4,FALSE),0)</f>
        <v>куб.м.</v>
      </c>
      <c r="G118" s="168">
        <f>VLOOKUP("тко",АО,5,FALSE)</f>
        <v>124542.58</v>
      </c>
      <c r="H118" s="169"/>
      <c r="I118" s="169"/>
      <c r="J118" s="169"/>
      <c r="L118" s="47"/>
    </row>
    <row r="119" spans="1:15" ht="32.25" customHeight="1" outlineLevel="2">
      <c r="A119" s="166" t="str">
        <f t="shared" ref="A119:A125" si="8">IF(VLOOKUP("тко",АО,3,FALSE)&gt;0,VLOOKUP(O119,АО,2,FALSE),0)</f>
        <v>Общий объем потребления, нат. показ.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231.55</v>
      </c>
      <c r="L119" s="47"/>
      <c r="O119" s="1" t="s">
        <v>139</v>
      </c>
    </row>
    <row r="120" spans="1:15" ht="32.25" customHeight="1" outlineLevel="2">
      <c r="A120" s="166" t="str">
        <f t="shared" si="8"/>
        <v>Оплачено потребителями, руб.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134952.75</v>
      </c>
      <c r="L120" s="47"/>
      <c r="O120" s="1" t="s">
        <v>140</v>
      </c>
    </row>
    <row r="121" spans="1:15" ht="32.25" customHeight="1" outlineLevel="2">
      <c r="A121" s="166" t="str">
        <f t="shared" si="8"/>
        <v>Задолженность потребителей, руб.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6" t="str">
        <f t="shared" si="8"/>
        <v>Начислено поставщиком (поставщиками) коммунального ресурса, руб.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124542.58</v>
      </c>
      <c r="L122" s="47"/>
      <c r="O122" s="1" t="s">
        <v>142</v>
      </c>
    </row>
    <row r="123" spans="1:15" ht="32.25" customHeight="1" outlineLevel="2">
      <c r="A123" s="166" t="str">
        <f t="shared" si="8"/>
        <v>Оплачено поставщику (поставщикам) коммунального ресурса, руб.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124542.58</v>
      </c>
      <c r="L123" s="47"/>
      <c r="O123" s="1" t="s">
        <v>143</v>
      </c>
    </row>
    <row r="124" spans="1:15" ht="32.25" customHeight="1" outlineLevel="2">
      <c r="A124" s="166" t="str">
        <f t="shared" si="8"/>
        <v>Задолженность перед поставщиком (поставщиками) коммунального ресурса, руб.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6" t="str">
        <f t="shared" si="8"/>
        <v>Размер пени и штрафов, уплаченных поставщику (поставщикам) коммунального ресурса, руб.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71" t="str">
        <f>IF(VLOOKUP("гвс",АО,3,FALSE)&gt;0,"Горячее водоснабжение",0)</f>
        <v>Горячее водоснабжение</v>
      </c>
      <c r="B126" s="171"/>
      <c r="C126" s="171"/>
      <c r="D126" s="169" t="str">
        <f>IF(VLOOKUP("гвс",АО,3,FALSE)&gt;0,VLOOKUP("гвс",АО,3,FALSE),0)</f>
        <v>Предоставляется</v>
      </c>
      <c r="E126" s="169"/>
      <c r="F126" s="13" t="str">
        <f>IF(VLOOKUP("гвс",АО,3,FALSE)&gt;0,VLOOKUP("гвс",АО,4,FALSE),0)</f>
        <v>куб.м.</v>
      </c>
      <c r="G126" s="168">
        <f>VLOOKUP("гвс",АО,5,FALSE)</f>
        <v>42456.41</v>
      </c>
      <c r="H126" s="169"/>
      <c r="I126" s="169"/>
      <c r="J126" s="169"/>
      <c r="L126" s="47"/>
    </row>
    <row r="127" spans="1:15" ht="32.25" customHeight="1" outlineLevel="2">
      <c r="A127" s="166" t="str">
        <f t="shared" ref="A127:A133" si="10">IF(VLOOKUP("гвс",АО,3,FALSE)&gt;0,VLOOKUP(O127,АО,2,FALSE),0)</f>
        <v>Общий объем потребления, нат. показ.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3216.39</v>
      </c>
      <c r="L127" s="47"/>
      <c r="O127" s="1" t="s">
        <v>147</v>
      </c>
    </row>
    <row r="128" spans="1:15" ht="32.25" customHeight="1" outlineLevel="2">
      <c r="A128" s="166" t="str">
        <f t="shared" si="10"/>
        <v>Оплачено потребителями, руб.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44298.71</v>
      </c>
      <c r="L128" s="47"/>
      <c r="O128" s="1" t="s">
        <v>148</v>
      </c>
    </row>
    <row r="129" spans="1:15" ht="32.25" customHeight="1" outlineLevel="2">
      <c r="A129" s="166" t="str">
        <f t="shared" si="10"/>
        <v>Задолженность потребителей, руб.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66" t="str">
        <f t="shared" si="10"/>
        <v>Начислено поставщиком (поставщиками) коммунального ресурса, руб.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42456.41</v>
      </c>
      <c r="L130" s="47"/>
      <c r="O130" s="1" t="s">
        <v>150</v>
      </c>
    </row>
    <row r="131" spans="1:15" ht="32.25" customHeight="1" outlineLevel="2">
      <c r="A131" s="166" t="str">
        <f t="shared" si="10"/>
        <v>Оплачено поставщику (поставщикам) коммунального ресурса, руб.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42456.41</v>
      </c>
      <c r="L131" s="47"/>
      <c r="O131" s="1" t="s">
        <v>151</v>
      </c>
    </row>
    <row r="132" spans="1:15" ht="32.25" customHeight="1" outlineLevel="2">
      <c r="A132" s="166" t="str">
        <f t="shared" si="10"/>
        <v>Задолженность перед поставщиком (поставщиками) коммунального ресурса, руб.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6" t="str">
        <f t="shared" si="10"/>
        <v>Размер пени и штрафов, уплаченных поставщику (поставщикам) коммунального ресурса, руб.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6" t="s">
        <v>45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171</v>
      </c>
    </row>
    <row r="145" spans="1:15" ht="18.75" customHeight="1" outlineLevel="1">
      <c r="A145" s="166" t="s">
        <v>46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6" t="s">
        <v>174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162144.81</v>
      </c>
      <c r="O146" t="s">
        <v>173</v>
      </c>
    </row>
    <row r="149" spans="1:15" ht="52.5" customHeight="1">
      <c r="A149" s="162" t="s">
        <v>179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1" t="s">
        <v>185</v>
      </c>
      <c r="B154" s="161"/>
      <c r="C154" s="161"/>
      <c r="D154" s="161"/>
      <c r="E154" s="27">
        <f>ПТО!G1</f>
        <v>-34183.519999999997</v>
      </c>
    </row>
    <row r="155" spans="1:15" ht="34.5" customHeight="1">
      <c r="A155" s="163" t="s">
        <v>190</v>
      </c>
      <c r="B155" s="163"/>
      <c r="C155" s="163"/>
      <c r="D155" s="163"/>
      <c r="E155" s="28">
        <f>J13</f>
        <v>162523.79999999999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4100</v>
      </c>
      <c r="G158" s="159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1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охранной сигнализации.</v>
      </c>
      <c r="B159" s="158"/>
      <c r="C159" s="158"/>
      <c r="D159" s="158"/>
      <c r="E159" s="158"/>
      <c r="F159" s="159">
        <f t="shared" si="15"/>
        <v>4000</v>
      </c>
      <c r="G159" s="159"/>
      <c r="H159" s="24" t="str">
        <f t="shared" si="16"/>
        <v>ежемесячно</v>
      </c>
      <c r="I159" s="160">
        <f t="shared" si="17"/>
        <v>12</v>
      </c>
      <c r="J159" s="160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8" t="str">
        <f t="shared" si="14"/>
        <v>Замена датчиков давления на ТП.</v>
      </c>
      <c r="B160" s="158"/>
      <c r="C160" s="158"/>
      <c r="D160" s="158"/>
      <c r="E160" s="158"/>
      <c r="F160" s="159">
        <f t="shared" si="15"/>
        <v>3436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Замена датчиков давления на ТП.</v>
      </c>
    </row>
    <row r="161" spans="1:14" ht="28.5" customHeight="1">
      <c r="A161" s="158" t="str">
        <f>IF(N161&gt;0,N161,0)</f>
        <v>Замена блока питания системы видеонаблюдения.</v>
      </c>
      <c r="B161" s="158"/>
      <c r="C161" s="158"/>
      <c r="D161" s="158"/>
      <c r="E161" s="158"/>
      <c r="F161" s="159">
        <f t="shared" si="15"/>
        <v>3600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Замена блока питания системы видеонаблюдения.</v>
      </c>
    </row>
    <row r="162" spans="1:14" ht="28.5" customHeight="1">
      <c r="A162" s="158" t="str">
        <f t="shared" si="14"/>
        <v>Монтаж дополнительных камер системы видеонаблюдения.</v>
      </c>
      <c r="B162" s="158"/>
      <c r="C162" s="158"/>
      <c r="D162" s="158"/>
      <c r="E162" s="158"/>
      <c r="F162" s="159">
        <f t="shared" si="15"/>
        <v>4752</v>
      </c>
      <c r="G162" s="159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72</v>
      </c>
      <c r="N162" s="1" t="str">
        <v>Монтаж дополнительных камер системы видеонаблюдения.</v>
      </c>
    </row>
    <row r="163" spans="1:14" ht="28.5" customHeight="1">
      <c r="A163" s="158" t="str">
        <f t="shared" si="14"/>
        <v>Частичный ремонт отмостки (14,5 м*2).</v>
      </c>
      <c r="B163" s="158"/>
      <c r="C163" s="158"/>
      <c r="D163" s="158"/>
      <c r="E163" s="158"/>
      <c r="F163" s="159">
        <f t="shared" si="15"/>
        <v>23925</v>
      </c>
      <c r="G163" s="159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72</v>
      </c>
      <c r="N163" s="1" t="str">
        <v>Частичный ремонт отмостки (14,5 м*2).</v>
      </c>
    </row>
    <row r="164" spans="1:14" ht="28.5" customHeight="1">
      <c r="A164" s="158" t="str">
        <f t="shared" ref="A164:A187" si="18">IF(N164&gt;0,N164,0)</f>
        <v>Замена камеры системы видеонаблюдения.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2376</v>
      </c>
      <c r="G164" s="159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72</v>
      </c>
      <c r="N164" s="1" t="str">
        <v>Замена камеры системы видеонаблюдения.</v>
      </c>
    </row>
    <row r="165" spans="1:14" ht="28.5" customHeight="1">
      <c r="A165" s="158" t="str">
        <f t="shared" si="18"/>
        <v>Приобретение и замена доводчика на тамбурной двери.</v>
      </c>
      <c r="B165" s="158"/>
      <c r="C165" s="158"/>
      <c r="D165" s="158"/>
      <c r="E165" s="158"/>
      <c r="F165" s="159">
        <f t="shared" si="19"/>
        <v>1619</v>
      </c>
      <c r="G165" s="159"/>
      <c r="H165" s="29" t="str">
        <f t="shared" si="16"/>
        <v>разово</v>
      </c>
      <c r="I165" s="160">
        <f t="shared" si="20"/>
        <v>1</v>
      </c>
      <c r="J165" s="160"/>
      <c r="M165" s="22" t="s">
        <v>72</v>
      </c>
      <c r="N165" s="1" t="str">
        <v>Приобретение и замена доводчика на тамбурной двери.</v>
      </c>
    </row>
    <row r="166" spans="1:14" ht="28.5" customHeight="1">
      <c r="A166" s="158" t="str">
        <f t="shared" si="18"/>
        <v>Замена обводной трубы ГВС в ИТП.</v>
      </c>
      <c r="B166" s="158"/>
      <c r="C166" s="158"/>
      <c r="D166" s="158"/>
      <c r="E166" s="158"/>
      <c r="F166" s="159">
        <f t="shared" si="19"/>
        <v>2000</v>
      </c>
      <c r="G166" s="159"/>
      <c r="H166" s="29" t="str">
        <f t="shared" si="16"/>
        <v>разово</v>
      </c>
      <c r="I166" s="160">
        <f t="shared" si="20"/>
        <v>1</v>
      </c>
      <c r="J166" s="160"/>
      <c r="M166" s="22" t="s">
        <v>72</v>
      </c>
      <c r="N166" s="1" t="str">
        <v>Замена обводной трубы ГВС в ИТП.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59">
        <f t="shared" si="19"/>
        <v>0</v>
      </c>
      <c r="G167" s="159"/>
      <c r="H167" s="29" t="e">
        <f t="shared" si="16"/>
        <v>#N/A</v>
      </c>
      <c r="I167" s="160" t="e">
        <f t="shared" si="20"/>
        <v>#N/A</v>
      </c>
      <c r="J167" s="160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59">
        <f t="shared" si="19"/>
        <v>0</v>
      </c>
      <c r="G168" s="159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61" t="s">
        <v>189</v>
      </c>
      <c r="B190" s="161"/>
      <c r="C190" s="161"/>
      <c r="D190" s="161"/>
      <c r="E190" s="27">
        <f>SUM(F158:G187)</f>
        <v>49808</v>
      </c>
    </row>
    <row r="191" spans="1:14" ht="51.75" customHeight="1">
      <c r="A191" s="161" t="s">
        <v>188</v>
      </c>
      <c r="B191" s="161"/>
      <c r="C191" s="161"/>
      <c r="D191" s="161"/>
      <c r="E191" s="27">
        <f>E190+E154-E155</f>
        <v>-146899.31999999998</v>
      </c>
    </row>
    <row r="192" spans="1:14">
      <c r="A192" s="104" t="s">
        <v>175</v>
      </c>
    </row>
    <row r="193" spans="1:10" ht="62.25" customHeight="1">
      <c r="A193" s="186" t="s">
        <v>186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75</v>
      </c>
    </row>
    <row r="195" spans="1:10" ht="18.75" customHeight="1">
      <c r="A195" s="185" t="str">
        <f>ПТО!F13</f>
        <v xml:space="preserve">  -  техническое освидетельствование лифта</v>
      </c>
      <c r="B195" s="185"/>
      <c r="C195" s="185"/>
      <c r="D195" s="185"/>
      <c r="E195" s="185"/>
      <c r="F195" s="185"/>
      <c r="G195" s="185"/>
      <c r="H195" s="49">
        <f>ПТО!G13</f>
        <v>4100</v>
      </c>
      <c r="I195" s="50" t="s">
        <v>75</v>
      </c>
    </row>
    <row r="196" spans="1:10" ht="18.75" customHeight="1">
      <c r="A196" s="185" t="str">
        <f>ПТО!F14</f>
        <v xml:space="preserve">  -  техническое обслуживание охранной сигнализации</v>
      </c>
      <c r="B196" s="185"/>
      <c r="C196" s="185"/>
      <c r="D196" s="185"/>
      <c r="E196" s="185"/>
      <c r="F196" s="185"/>
      <c r="G196" s="185"/>
      <c r="H196" s="49">
        <f>ПТО!G14</f>
        <v>4000</v>
      </c>
      <c r="I196" s="50" t="s">
        <v>75</v>
      </c>
    </row>
    <row r="197" spans="1:10" ht="18.75" customHeight="1">
      <c r="A197" s="185" t="str">
        <f>ПТО!F15</f>
        <v xml:space="preserve">  -  выверка направляющих противовеса лифта</v>
      </c>
      <c r="B197" s="185"/>
      <c r="C197" s="185"/>
      <c r="D197" s="185"/>
      <c r="E197" s="185"/>
      <c r="F197" s="185"/>
      <c r="G197" s="185"/>
      <c r="H197" s="49">
        <f>ПТО!G15</f>
        <v>20000</v>
      </c>
      <c r="I197" s="50" t="s">
        <v>75</v>
      </c>
    </row>
    <row r="198" spans="1:10" ht="18.75" customHeight="1">
      <c r="A198" s="185" t="str">
        <f>ПТО!F16</f>
        <v xml:space="preserve">  -  благоустройство придомовой территории</v>
      </c>
      <c r="B198" s="185"/>
      <c r="C198" s="185"/>
      <c r="D198" s="185"/>
      <c r="E198" s="185"/>
      <c r="F198" s="185"/>
      <c r="G198" s="185"/>
      <c r="H198" s="49">
        <f>ПТО!G16</f>
        <v>5000</v>
      </c>
      <c r="I198" s="52" t="s">
        <v>75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75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75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75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75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75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75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75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75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75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75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75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75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75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75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34300</v>
      </c>
      <c r="I214" s="56" t="s">
        <v>78</v>
      </c>
    </row>
  </sheetData>
  <sheetProtection algorithmName="SHA-512" hashValue="PVOiTQW/Lh7o43YQFpXZ1/NiH3wj4yBY8A1xFZTR182GXZ3uT6fYUSE2XAkOi8ajCfrBH4ZbHequXRkrXO3D7A==" saltValue="lTsf6oDSk4eZ91xPGM97G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5" sqref="E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-34183.52</f>
        <v>-34183.519999999997</v>
      </c>
    </row>
    <row r="2" spans="1:12" ht="18.75" customHeight="1">
      <c r="A2" s="154" t="s">
        <v>73</v>
      </c>
      <c r="B2" s="155" t="s">
        <v>180</v>
      </c>
      <c r="C2" s="155">
        <v>1</v>
      </c>
      <c r="D2" s="156">
        <v>4100</v>
      </c>
      <c r="E2" s="120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1" t="s">
        <v>187</v>
      </c>
      <c r="B3" s="152" t="s">
        <v>183</v>
      </c>
      <c r="C3" s="152">
        <v>12</v>
      </c>
      <c r="D3" s="153">
        <v>4000</v>
      </c>
      <c r="E3" s="120" t="s">
        <v>213</v>
      </c>
      <c r="F3" s="30"/>
      <c r="G3" s="30"/>
      <c r="L3" s="33" t="str">
        <f t="shared" si="0"/>
        <v>ТР</v>
      </c>
    </row>
    <row r="4" spans="1:12" ht="18.75" customHeight="1">
      <c r="A4" s="121" t="s">
        <v>193</v>
      </c>
      <c r="B4" s="119" t="s">
        <v>192</v>
      </c>
      <c r="C4" s="122">
        <v>1</v>
      </c>
      <c r="D4" s="123">
        <v>3436</v>
      </c>
      <c r="E4" s="124" t="s">
        <v>194</v>
      </c>
      <c r="F4" s="30"/>
      <c r="G4" s="30"/>
      <c r="L4" s="33" t="str">
        <f t="shared" si="0"/>
        <v>ТР</v>
      </c>
    </row>
    <row r="5" spans="1:12" ht="32.25" customHeight="1">
      <c r="A5" s="131" t="s">
        <v>191</v>
      </c>
      <c r="B5" s="132" t="s">
        <v>192</v>
      </c>
      <c r="C5" s="119">
        <v>1</v>
      </c>
      <c r="D5" s="46">
        <v>3600</v>
      </c>
      <c r="E5" s="120" t="s">
        <v>195</v>
      </c>
      <c r="F5" s="44"/>
      <c r="G5" s="44"/>
      <c r="K5" s="46"/>
      <c r="L5" s="33" t="str">
        <f t="shared" si="0"/>
        <v>ТР</v>
      </c>
    </row>
    <row r="6" spans="1:12" ht="27.75" customHeight="1">
      <c r="A6" s="140" t="s">
        <v>196</v>
      </c>
      <c r="B6" s="141" t="s">
        <v>192</v>
      </c>
      <c r="C6" s="139">
        <v>1</v>
      </c>
      <c r="D6" s="142">
        <v>4752</v>
      </c>
      <c r="E6" s="124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3" t="s">
        <v>198</v>
      </c>
      <c r="B7" s="134" t="s">
        <v>192</v>
      </c>
      <c r="C7" s="135">
        <v>1</v>
      </c>
      <c r="D7" s="46">
        <v>23925</v>
      </c>
      <c r="E7" s="133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199</v>
      </c>
      <c r="B8" s="137" t="s">
        <v>192</v>
      </c>
      <c r="C8" s="122">
        <v>1</v>
      </c>
      <c r="D8" s="125">
        <v>2376</v>
      </c>
      <c r="E8" s="120" t="s">
        <v>200</v>
      </c>
      <c r="F8" s="45"/>
      <c r="G8" s="45"/>
      <c r="K8" s="43"/>
      <c r="L8" s="33" t="str">
        <f t="shared" si="0"/>
        <v>ТР</v>
      </c>
    </row>
    <row r="9" spans="1:12">
      <c r="A9" s="157" t="s">
        <v>215</v>
      </c>
      <c r="B9" s="138" t="s">
        <v>192</v>
      </c>
      <c r="C9" s="139">
        <v>1</v>
      </c>
      <c r="D9" s="46">
        <v>1619</v>
      </c>
      <c r="E9" s="120" t="s">
        <v>201</v>
      </c>
      <c r="F9" s="44"/>
      <c r="G9" s="44"/>
      <c r="K9" s="43"/>
      <c r="L9" s="33" t="str">
        <f t="shared" si="0"/>
        <v>ТР</v>
      </c>
    </row>
    <row r="10" spans="1:12">
      <c r="A10" s="143" t="s">
        <v>203</v>
      </c>
      <c r="B10" s="144" t="s">
        <v>192</v>
      </c>
      <c r="C10" s="145">
        <v>1</v>
      </c>
      <c r="D10" s="146">
        <v>2000</v>
      </c>
      <c r="E10" s="147" t="s">
        <v>204</v>
      </c>
      <c r="L10" s="33" t="str">
        <f t="shared" si="0"/>
        <v>ТР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29" t="s">
        <v>184</v>
      </c>
      <c r="G14" s="130">
        <v>4000</v>
      </c>
      <c r="L14" s="33">
        <f t="shared" si="0"/>
        <v>0</v>
      </c>
    </row>
    <row r="15" spans="1:12" ht="31.5">
      <c r="A15" s="30"/>
      <c r="F15" s="129" t="s">
        <v>214</v>
      </c>
      <c r="G15" s="130">
        <v>20000</v>
      </c>
      <c r="L15" s="33">
        <f t="shared" si="0"/>
        <v>0</v>
      </c>
    </row>
    <row r="16" spans="1:12" ht="31.5">
      <c r="A16" s="30"/>
      <c r="F16" s="128" t="s">
        <v>182</v>
      </c>
      <c r="G16" s="130">
        <v>5000</v>
      </c>
      <c r="L16" s="33">
        <f t="shared" si="0"/>
        <v>0</v>
      </c>
    </row>
    <row r="17" spans="1:12" ht="15.75">
      <c r="A17" s="30"/>
      <c r="F17" s="126"/>
      <c r="G17" s="127"/>
      <c r="L17" s="33">
        <f t="shared" si="0"/>
        <v>0</v>
      </c>
    </row>
    <row r="18" spans="1:12" ht="15.75">
      <c r="A18" s="30"/>
      <c r="F18" s="128"/>
      <c r="G18" s="127"/>
      <c r="L18" s="33">
        <f t="shared" si="0"/>
        <v>0</v>
      </c>
    </row>
    <row r="19" spans="1:12" ht="15.75">
      <c r="A19" s="30"/>
      <c r="F19" s="118"/>
      <c r="G19" s="117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265816.68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265816.68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54174.6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54174.6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42978.48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42978.48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43339.68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43339.68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13724.28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13724.28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67537.679999999993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67537.679999999993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180582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180582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205</v>
      </c>
      <c r="B47" s="148">
        <f>(E47*G53*F55*6+E47*G53*G55*6)+(F47*G59*F61*6+F47*G59*G61*6)+(F47*G63*F65*6+F47*G63*G65*6)</f>
        <v>50680.601099999993</v>
      </c>
      <c r="C47" s="149" t="s">
        <v>68</v>
      </c>
      <c r="D47" s="48">
        <v>12</v>
      </c>
      <c r="E47" s="148">
        <v>800.8</v>
      </c>
      <c r="F47" s="148">
        <v>401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50680.601099999993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0" t="s">
        <v>206</v>
      </c>
      <c r="F52" s="150" t="s">
        <v>207</v>
      </c>
      <c r="G52" s="150" t="s">
        <v>208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>
        <v>35.896999999999998</v>
      </c>
      <c r="F53" s="148">
        <v>3009.7</v>
      </c>
      <c r="G53" s="150">
        <v>3.48</v>
      </c>
      <c r="H53" s="150">
        <f>G53*E47/F53</f>
        <v>0.92593414626042458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/>
      <c r="F54" s="150" t="s">
        <v>209</v>
      </c>
      <c r="G54" s="150" t="s">
        <v>210</v>
      </c>
      <c r="H54" s="150">
        <f>H53*35.5</f>
        <v>32.870662192245071</v>
      </c>
    </row>
    <row r="55" spans="5:16">
      <c r="E55" s="150"/>
      <c r="F55" s="150">
        <v>1.17</v>
      </c>
      <c r="G55" s="150">
        <v>1.23</v>
      </c>
      <c r="H55" s="150"/>
    </row>
    <row r="56" spans="5:16">
      <c r="E56" s="150"/>
      <c r="F56" s="150"/>
      <c r="G56" s="150"/>
      <c r="H56" s="150"/>
    </row>
    <row r="57" spans="5:16">
      <c r="E57" s="150"/>
      <c r="F57" s="150"/>
      <c r="G57" s="150"/>
      <c r="H57" s="150"/>
    </row>
    <row r="58" spans="5:16">
      <c r="E58" s="150" t="s">
        <v>211</v>
      </c>
      <c r="F58" s="150"/>
      <c r="G58" s="150"/>
      <c r="H58" s="150"/>
    </row>
    <row r="59" spans="5:16">
      <c r="E59" s="150">
        <v>0.59599999999999997</v>
      </c>
      <c r="F59" s="148">
        <v>3009.7</v>
      </c>
      <c r="G59" s="150">
        <v>7.4999999999999997E-2</v>
      </c>
      <c r="H59" s="150">
        <f>G59*F47</f>
        <v>30.074999999999999</v>
      </c>
    </row>
    <row r="60" spans="5:16">
      <c r="E60" s="150"/>
      <c r="F60" s="150" t="s">
        <v>209</v>
      </c>
      <c r="G60" s="150" t="s">
        <v>210</v>
      </c>
      <c r="H60" s="150">
        <f>H59/F59</f>
        <v>9.9926903013589398E-3</v>
      </c>
    </row>
    <row r="61" spans="5:16">
      <c r="E61" s="150"/>
      <c r="F61" s="150">
        <v>12.94</v>
      </c>
      <c r="G61" s="150">
        <v>13.45</v>
      </c>
      <c r="H61" s="150">
        <f>H60*35.5</f>
        <v>0.35474050569824234</v>
      </c>
    </row>
    <row r="62" spans="5:16">
      <c r="E62" s="150" t="s">
        <v>212</v>
      </c>
      <c r="F62" s="150"/>
      <c r="G62" s="150"/>
      <c r="H62" s="150"/>
    </row>
    <row r="63" spans="5:16">
      <c r="E63" s="150">
        <v>0.59599999999999997</v>
      </c>
      <c r="F63" s="148">
        <v>3009.7</v>
      </c>
      <c r="G63" s="150">
        <v>7.4999999999999997E-2</v>
      </c>
      <c r="H63" s="150">
        <f>G63*F47</f>
        <v>30.074999999999999</v>
      </c>
    </row>
    <row r="64" spans="5:16">
      <c r="E64" s="150"/>
      <c r="F64" s="150" t="s">
        <v>209</v>
      </c>
      <c r="G64" s="150" t="s">
        <v>210</v>
      </c>
      <c r="H64" s="150">
        <f>H63/F63</f>
        <v>9.9926903013589398E-3</v>
      </c>
    </row>
    <row r="65" spans="4:13" ht="18.75" customHeight="1">
      <c r="E65" s="150"/>
      <c r="F65" s="150">
        <v>15.73</v>
      </c>
      <c r="G65" s="150">
        <v>16.350000000000001</v>
      </c>
      <c r="H65" s="150">
        <f>H64*35.5</f>
        <v>0.35474050569824234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3009.7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393718.81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839182.16999999993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676658.37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162523.79999999999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982278.37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982278.37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982278.37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250622.61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106</v>
      </c>
      <c r="B27" s="75" t="s">
        <v>4</v>
      </c>
      <c r="C27" s="86">
        <v>129047.93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109</v>
      </c>
      <c r="B30" s="75" t="s">
        <v>18</v>
      </c>
      <c r="C30" s="86">
        <v>92649.71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198594.73</v>
      </c>
      <c r="F37" s="94" t="s">
        <v>168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165495.60999999999</v>
      </c>
      <c r="D38" s="94" t="s">
        <v>166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212979.1</v>
      </c>
      <c r="D39" s="94" t="s">
        <v>167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198594.73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198594.73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67124.990000000005</v>
      </c>
      <c r="F45" s="94" t="s">
        <v>168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5085.2299999999996</v>
      </c>
      <c r="D46" s="94" t="s">
        <v>169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70630.83</v>
      </c>
      <c r="D47" s="94" t="s">
        <v>167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67124.990000000005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67124.990000000005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135265.65</v>
      </c>
      <c r="F53" s="94" t="s">
        <v>168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8433.02</v>
      </c>
      <c r="D54" s="94" t="s">
        <v>169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141521.19</v>
      </c>
      <c r="D55" s="94" t="s">
        <v>167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135265.65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135265.65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124542.58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231.55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134952.75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124542.58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124542.58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42456.41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3216.39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44298.71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42456.41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42456.41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162144.81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2022-03-28T03:23:44Z</dcterms:modified>
</cp:coreProperties>
</file>