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0" i="1"/>
  <c r="A96" i="1"/>
  <c r="G94" i="1"/>
  <c r="D94" i="1"/>
  <c r="K94" i="1"/>
  <c r="F110" i="1" l="1"/>
  <c r="A113" i="1"/>
  <c r="A117" i="1"/>
  <c r="A119" i="1"/>
  <c r="A123" i="1"/>
  <c r="A118" i="1"/>
  <c r="D118" i="1"/>
  <c r="A120" i="1"/>
  <c r="A124" i="1"/>
  <c r="F118" i="1"/>
  <c r="A121" i="1"/>
  <c r="A125" i="1"/>
  <c r="A94" i="1"/>
  <c r="A95" i="1"/>
  <c r="A99" i="1"/>
  <c r="F134" i="1"/>
  <c r="A137" i="1"/>
  <c r="A141" i="1"/>
  <c r="A138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<sst xmlns="http://schemas.openxmlformats.org/spreadsheetml/2006/main" count="562" uniqueCount="208">
  <si>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</si>
  <si>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</si>
  <si>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</si>
  <si>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</si>
  <si>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</si>
  <si>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</si>
  <si>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</si>
  <si>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</si>
  <si>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</si>
  <si>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</si>
  <si>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</si>
  <si>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</si>
  <si>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</si>
  <si>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</si>
  <si>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</si>
  <si>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</si>
  <si>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</si>
  <si>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</si>
  <si>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</si>
  <si>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</si>
  <si>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</si>
  <si>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</si>
  <si>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</si>
  <si>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</si>
  <si>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</si>
  <si>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</si>
  <si>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</si>
  <si>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</si>
  <si>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</si>
  <si>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</si>
  <si>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</si>
  <si>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</si>
  <si>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</si>
  <si>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</si>
  <si>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</si>
  <si>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</si>
  <si>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</si>
  <si>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</si>
  <si>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</si>
  <si>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</si>
  <si>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</si>
  <si>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</si>
  <si>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</si>
  <si>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</si>
  <si>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</si>
  <si>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</si>
  <si>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</si>
  <si>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</si>
  <si>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</si>
  <si>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</si>
  <si>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</si>
  <si>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</si>
  <si>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</si>
  <si>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</si>
  <si>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</si>
  <si>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</si>
  <si>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</si>
  <si>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</si>
  <si>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</si>
  <si>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</si>
  <si>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</si>
  <si>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</si>
  <si>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</si>
  <si>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</si>
  <si>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</si>
  <si>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</si>
  <si>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</si>
  <si>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</si>
  <si>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</si>
  <si>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</si>
  <si>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</si>
  <si>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</si>
  <si>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</si>
  <si>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</si>
  <si>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</si>
  <si>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</si>
  <si>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</si>
  <si>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</si>
  <si>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</si>
  <si>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</si>
  <si>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</si>
  <si>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</si>
  <si>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</si>
  <si>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</si>
  <si>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</si>
  <si>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</si>
  <si>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</si>
  <si>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</si>
  <si>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</si>
  <si>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</si>
  <si>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</si>
  <si>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</si>
  <si>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</si>
  <si>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</si>
  <si>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</si>
  <si>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</si>
  <si>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</si>
  <si>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</si>
  <si>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</si>
  <si>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</si>
  <si>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</si>
  <si>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</si>
  <si>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</si>
  <si>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</si>
  <si>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</si>
  <si>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</si>
  <si>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</si>
  <si>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</si>
  <si>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</si>
  <si>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</si>
  <si>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</si>
  <si>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</si>
  <si>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</si>
  <si>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</si>
  <si>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</si>
  <si>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</si>
  <si>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</si>
  <si>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</si>
  <si>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</si>
  <si>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</si>
  <si>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</si>
  <si>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</si>
  <si>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</si>
  <si>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</si>
  <si>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</si>
  <si>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</si>
  <si>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</si>
  <si>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</si>
  <si>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</si>
  <si>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</si>
  <si>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</si>
  <si>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</si>
  <si>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</si>
  <si>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</si>
  <si>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</si>
  <si>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</si>
  <si>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</si>
  <si>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</si>
  <si>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</si>
  <si>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</si>
  <si>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</si>
  <si>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</si>
  <si>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</si>
  <si>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</si>
  <si>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</si>
  <si>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</si>
  <si>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</si>
  <si>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</si>
  <si>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</si>
  <si>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</si>
  <si>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</si>
  <si>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</si>
  <si>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</si>
  <si>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</si>
  <si>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</si>
  <si>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</si>
  <si>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</si>
  <si>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</si>
  <si>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</si>
  <si>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</si>
  <si>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</si>
  <si>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</si>
  <si>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</si>
  <si>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</si>
  <si>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</si>
  <si>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</si>
  <si>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</si>
  <si>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</si>
  <si>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</si>
  <si>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</si>
  <si>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</si>
  <si>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</si>
  <si>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</si>
  <si>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</si>
  <si>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</si>
  <si>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</si>
  <si>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</si>
  <si>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Профсоюзная, 10/2</t>
  </si>
  <si>
    <t>Отчет об исполнении договора управления многоквартирного дома 
Профсоюзная, 10/2 в части текущего ремонта</t>
  </si>
  <si>
    <t>ежегодно</t>
  </si>
  <si>
    <t>площадь дома</t>
  </si>
  <si>
    <t xml:space="preserve">  -  монтаж дополнительных камер видеонаблюдения</t>
  </si>
  <si>
    <t xml:space="preserve">  -  благоустройство придомовой территории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</si>
  <si>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</si>
  <si>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</si>
  <si>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</si>
  <si>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</si>
  <si>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</si>
  <si>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</si>
  <si>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Диагностика и ремонт датчика уличной температуры.</t>
  </si>
  <si>
    <t>разово</t>
  </si>
  <si>
    <t>Замена датчиков давления на ТП.</t>
  </si>
  <si>
    <t>АВР 2/21 от 13.05.2021</t>
  </si>
  <si>
    <t>Замена АКБ станции управления пассажирским лифтом.</t>
  </si>
  <si>
    <t>АВР 3/21 от 16.08.2021, счет №147 от 16.08.2021</t>
  </si>
  <si>
    <t>АВР 1/21 от 16.07.2021, счет №153 от 16.07.2021</t>
  </si>
  <si>
    <t>АВР 4/21 от 15.10.2021, Решение</t>
  </si>
  <si>
    <t>Частичный ремонт отмостки (16,5 м*2).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</si>
  <si>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</si>
  <si>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</si>
  <si>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</si>
  <si>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</si>
  <si>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</si>
  <si>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</si>
  <si>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</si>
  <si>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</si>
  <si>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5/21 от 31.12.2021</t>
  </si>
  <si>
    <t xml:space="preserve">  -  замена тяговых канатов для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</si>
</sst>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" fillId="0" borderId="0"/>
  </cellStyleXfs>
  <cellXfs count="178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22" fillId="0" borderId="0" xfId="4" applyFont="1" applyFill="1" applyBorder="1" applyAlignment="1">
      <alignment horizontal="center"/>
    </xf>
    <xf numFmtId="0" fontId="0" fillId="0" borderId="0" xfId="0" applyFill="1"/>
    <xf numFmtId="2" fontId="15" fillId="0" borderId="0" xfId="0" applyNumberFormat="1" applyFont="1" applyFill="1" applyBorder="1" applyAlignment="1">
      <alignment wrapText="1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1" fontId="7" fillId="0" borderId="0" xfId="5" applyNumberFormat="1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4" fillId="3" borderId="0" xfId="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2" fillId="0" borderId="0" xfId="5" applyFont="1" applyFill="1" applyBorder="1" applyAlignment="1"/>
    <xf numFmtId="0" fontId="7" fillId="0" borderId="0" xfId="5" applyFill="1" applyBorder="1" applyAlignment="1">
      <alignment horizontal="center"/>
    </xf>
    <xf numFmtId="4" fontId="7" fillId="0" borderId="0" xfId="5" applyNumberFormat="1" applyFill="1" applyBorder="1" applyAlignment="1"/>
    <xf numFmtId="0" fontId="0" fillId="0" borderId="0" xfId="0" applyFill="1" applyBorder="1"/>
    <xf numFmtId="0" fontId="15" fillId="0" borderId="0" xfId="0" applyFont="1" applyBorder="1" applyAlignment="1">
      <alignment wrapText="1"/>
    </xf>
    <xf numFmtId="4" fontId="14" fillId="0" borderId="0" xfId="0" applyNumberFormat="1" applyFont="1" applyBorder="1"/>
    <xf numFmtId="0" fontId="1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68" t="s">
        <v>177</v>
      </c>
      <c r="B2" s="168"/>
      <c r="C2" s="168"/>
      <c r="D2" s="168"/>
      <c r="E2" s="168"/>
      <c r="F2" s="168"/>
      <c r="G2" s="168"/>
      <c r="H2" s="168"/>
      <c r="I2" s="168"/>
      <c r="J2" s="16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183</v>
      </c>
      <c r="E4" s="119">
        <v>44197</v>
      </c>
      <c r="K4" s="111"/>
      <c r="L4" s="111"/>
      <c r="M4" s="111"/>
      <c r="N4" s="111"/>
    </row>
    <row r="5" spans="1:18">
      <c r="A5" s="1" t="s">
        <v>0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65" t="s">
        <v>1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11"/>
      <c r="L8" s="169"/>
      <c r="M8" s="111"/>
      <c r="N8" s="111"/>
      <c r="O8" s="71" t="s">
        <v>82</v>
      </c>
      <c r="R8" s="16"/>
    </row>
    <row r="9" spans="1:18" ht="18.75" customHeight="1" outlineLevel="1">
      <c r="A9" s="165" t="s">
        <v>2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11"/>
      <c r="L9" s="169"/>
      <c r="M9" s="111"/>
      <c r="N9" s="111"/>
      <c r="O9" s="71" t="s">
        <v>83</v>
      </c>
    </row>
    <row r="10" spans="1:18" ht="18.75" customHeight="1" outlineLevel="1">
      <c r="A10" s="165" t="s">
        <v>3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174507.68</v>
      </c>
      <c r="K10" s="111"/>
      <c r="L10" s="169"/>
      <c r="M10" s="111"/>
      <c r="N10" s="111"/>
      <c r="O10" s="71" t="s">
        <v>84</v>
      </c>
    </row>
    <row r="11" spans="1:18" outlineLevel="1">
      <c r="A11" s="165" t="s">
        <v>4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639663.32999999996</v>
      </c>
      <c r="K11" s="111"/>
      <c r="L11" s="169"/>
      <c r="M11" s="111"/>
      <c r="N11" s="111"/>
      <c r="O11" s="71" t="s">
        <v>85</v>
      </c>
    </row>
    <row r="12" spans="1:18" ht="18.75" customHeight="1" outlineLevel="1">
      <c r="A12" s="165" t="s">
        <v>5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486243.93</v>
      </c>
      <c r="K12" s="111"/>
      <c r="L12" s="169"/>
      <c r="M12" s="111"/>
      <c r="N12" s="111"/>
      <c r="O12" s="71" t="s">
        <v>86</v>
      </c>
    </row>
    <row r="13" spans="1:18" ht="18.75" customHeight="1" outlineLevel="1">
      <c r="A13" s="165" t="s">
        <v>6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153419.4</v>
      </c>
      <c r="K13" s="111"/>
      <c r="L13" s="169"/>
      <c r="M13" s="111"/>
      <c r="N13" s="111"/>
      <c r="O13" s="71" t="s">
        <v>87</v>
      </c>
    </row>
    <row r="14" spans="1:18" ht="18.75" customHeight="1" outlineLevel="1">
      <c r="A14" s="165" t="s">
        <v>7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11"/>
      <c r="L14" s="169"/>
      <c r="M14" s="111"/>
      <c r="N14" s="111"/>
      <c r="O14" s="71" t="s">
        <v>88</v>
      </c>
    </row>
    <row r="15" spans="1:18" ht="18.75" customHeight="1" outlineLevel="1">
      <c r="A15" s="165" t="s">
        <v>8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682248.34</v>
      </c>
      <c r="K15" s="111"/>
      <c r="L15" s="169"/>
      <c r="M15" s="111"/>
      <c r="N15" s="111"/>
      <c r="O15" s="71" t="s">
        <v>89</v>
      </c>
    </row>
    <row r="16" spans="1:18" ht="18.75" customHeight="1" outlineLevel="1">
      <c r="A16" s="165" t="s">
        <v>9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682248.34</v>
      </c>
      <c r="K16" s="111"/>
      <c r="L16" s="169"/>
      <c r="M16" s="111"/>
      <c r="N16" s="111"/>
      <c r="O16" s="71" t="s">
        <v>90</v>
      </c>
    </row>
    <row r="17" spans="1:23" ht="18.75" customHeight="1" outlineLevel="1">
      <c r="A17" s="165" t="s">
        <v>10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11"/>
      <c r="L17" s="169"/>
      <c r="M17" s="111"/>
      <c r="N17" s="111"/>
      <c r="O17" s="71" t="s">
        <v>91</v>
      </c>
    </row>
    <row r="18" spans="1:23" ht="18.75" customHeight="1" outlineLevel="1">
      <c r="A18" s="165" t="s">
        <v>11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11"/>
      <c r="L18" s="169"/>
      <c r="M18" s="111"/>
      <c r="N18" s="111"/>
      <c r="O18" s="71" t="s">
        <v>92</v>
      </c>
    </row>
    <row r="19" spans="1:23" ht="18.75" customHeight="1" outlineLevel="1">
      <c r="A19" s="165" t="s">
        <v>12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11"/>
      <c r="L19" s="169"/>
      <c r="M19" s="111"/>
      <c r="N19" s="111"/>
      <c r="O19" s="71" t="s">
        <v>93</v>
      </c>
    </row>
    <row r="20" spans="1:23" ht="18.75" customHeight="1" outlineLevel="1">
      <c r="A20" s="165" t="s">
        <v>13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11"/>
      <c r="L20" s="169"/>
      <c r="M20" s="111"/>
      <c r="N20" s="111"/>
      <c r="O20" s="71" t="s">
        <v>94</v>
      </c>
    </row>
    <row r="21" spans="1:23" ht="18.75" customHeight="1" outlineLevel="1">
      <c r="A21" s="165" t="s">
        <v>14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682248.34</v>
      </c>
      <c r="K21" s="111"/>
      <c r="L21" s="169"/>
      <c r="M21" s="111"/>
      <c r="N21" s="111"/>
      <c r="O21" s="71" t="s">
        <v>95</v>
      </c>
    </row>
    <row r="22" spans="1:23" ht="18.75" customHeight="1" outlineLevel="1">
      <c r="A22" s="165" t="s">
        <v>15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11"/>
      <c r="L22" s="169"/>
      <c r="M22" s="111"/>
      <c r="N22" s="111"/>
      <c r="O22" s="71" t="s">
        <v>96</v>
      </c>
    </row>
    <row r="23" spans="1:23" ht="18.75" customHeight="1" outlineLevel="1">
      <c r="A23" s="165" t="s">
        <v>16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11"/>
      <c r="L23" s="169"/>
      <c r="M23" s="111"/>
      <c r="N23" s="111"/>
      <c r="O23" s="71" t="s">
        <v>97</v>
      </c>
    </row>
    <row r="24" spans="1:23" ht="18.75" customHeight="1" outlineLevel="1">
      <c r="A24" s="165" t="s">
        <v>17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131922.67000000004</v>
      </c>
      <c r="K24" s="111"/>
      <c r="L24" s="169"/>
      <c r="M24" s="111"/>
      <c r="N24" s="111"/>
      <c r="O24" s="71" t="s">
        <v>98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52" t="s">
        <v>18</v>
      </c>
      <c r="B27" s="152"/>
      <c r="C27" s="152"/>
      <c r="D27" s="152"/>
      <c r="E27" s="152"/>
      <c r="F27" s="152" t="s">
        <v>19</v>
      </c>
      <c r="G27" s="152"/>
      <c r="H27" s="5" t="s">
        <v>56</v>
      </c>
      <c r="I27" s="152" t="s">
        <v>20</v>
      </c>
      <c r="J27" s="152"/>
      <c r="K27" s="111"/>
      <c r="L27" s="17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47">
        <f>VLOOKUP(A28,ПТО!$A$39:$D$53,2,FALSE)</f>
        <v>146600.76</v>
      </c>
      <c r="G28" s="147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1"/>
      <c r="L28" s="17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6" t="str">
        <f>ПТО!A40</f>
        <v>Работы по содержанию лифта (лифтов)</v>
      </c>
      <c r="B29" s="146"/>
      <c r="C29" s="146"/>
      <c r="D29" s="146"/>
      <c r="E29" s="146"/>
      <c r="F29" s="147">
        <f>VLOOKUP(A29,ПТО!$A$39:$D$53,2,FALSE)</f>
        <v>53867.28</v>
      </c>
      <c r="G29" s="147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1"/>
      <c r="L29" s="170"/>
      <c r="M29" s="111"/>
      <c r="N29" s="111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47">
        <f>VLOOKUP(A30,ПТО!$A$39:$D$53,2,FALSE)</f>
        <v>42957.48</v>
      </c>
      <c r="G30" s="147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1"/>
      <c r="L30" s="17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47">
        <f>VLOOKUP(A31,ПТО!$A$39:$D$53,2,FALSE)</f>
        <v>40911.839999999997</v>
      </c>
      <c r="G31" s="147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1"/>
      <c r="L31" s="17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1"/>
      <c r="L32" s="170"/>
      <c r="M32" s="111"/>
      <c r="N32" s="111"/>
      <c r="O32" s="23">
        <f t="shared" si="1"/>
        <v>0</v>
      </c>
      <c r="R32" s="1" t="s">
        <v>70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47">
        <f>VLOOKUP(A33,ПТО!$A$39:$D$53,2,FALSE)</f>
        <v>13296.36</v>
      </c>
      <c r="G33" s="147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1"/>
      <c r="L33" s="17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47">
        <f>VLOOKUP(A34,ПТО!$A$39:$D$53,2,FALSE)</f>
        <v>76027.8</v>
      </c>
      <c r="G34" s="147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1"/>
      <c r="L34" s="17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6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6"/>
      <c r="C35" s="146"/>
      <c r="D35" s="146"/>
      <c r="E35" s="146"/>
      <c r="F35" s="147">
        <f>VLOOKUP(A35,ПТО!$A$39:$D$53,2,FALSE)</f>
        <v>136031.88</v>
      </c>
      <c r="G35" s="147"/>
      <c r="H35" s="42" t="str">
        <f>VLOOKUP(A35,ПТО!$A$39:$D$53,3,FALSE)</f>
        <v>Ежемесячно</v>
      </c>
      <c r="I35" s="148">
        <f>VLOOKUP(A35,ПТО!$A$39:$D$53,4,FALSE)</f>
        <v>12</v>
      </c>
      <c r="J35" s="148"/>
      <c r="K35" s="111"/>
      <c r="L35" s="170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customHeight="1" outlineLevel="1">
      <c r="A36" s="146" t="str">
        <f>ПТО!A47</f>
        <v>Коммунальные ресурсы на содержание общего имущества</v>
      </c>
      <c r="B36" s="146"/>
      <c r="C36" s="146"/>
      <c r="D36" s="146"/>
      <c r="E36" s="146"/>
      <c r="F36" s="147">
        <f>VLOOKUP(A36,ПТО!$A$39:$D$53,2,FALSE)</f>
        <v>36871.231049999995</v>
      </c>
      <c r="G36" s="147"/>
      <c r="H36" s="42" t="str">
        <f>VLOOKUP(A36,ПТО!$A$39:$D$53,3,FALSE)</f>
        <v>Ежемесячно</v>
      </c>
      <c r="I36" s="148">
        <f>VLOOKUP(A36,ПТО!$A$39:$D$53,4,FALSE)</f>
        <v>12</v>
      </c>
      <c r="J36" s="148"/>
      <c r="K36" s="111"/>
      <c r="L36" s="170"/>
      <c r="M36" s="118"/>
      <c r="N36" s="111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1"/>
      <c r="L37" s="170"/>
      <c r="M37" s="118"/>
      <c r="N37" s="111"/>
      <c r="O37" s="23">
        <f t="shared" si="1"/>
        <v>0</v>
      </c>
      <c r="R37" s="1" t="s">
        <v>70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1"/>
      <c r="L38" s="170"/>
      <c r="M38" s="118"/>
      <c r="N38" s="111"/>
      <c r="O38" s="23">
        <f t="shared" si="1"/>
        <v>0</v>
      </c>
      <c r="R38" s="1" t="s">
        <v>70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1"/>
      <c r="L39" s="170"/>
      <c r="M39" s="118"/>
      <c r="N39" s="111"/>
      <c r="O39" s="23">
        <f t="shared" si="1"/>
        <v>0</v>
      </c>
      <c r="R39" s="1" t="s">
        <v>70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1"/>
      <c r="L40" s="170"/>
      <c r="M40" s="118"/>
      <c r="N40" s="111"/>
      <c r="O40" s="23">
        <f t="shared" si="1"/>
        <v>0</v>
      </c>
      <c r="R40" s="1" t="s">
        <v>70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1"/>
      <c r="L41" s="170"/>
      <c r="M41" s="118"/>
      <c r="N41" s="111"/>
      <c r="O41" s="23">
        <f t="shared" si="1"/>
        <v>0</v>
      </c>
      <c r="R41" s="1" t="s">
        <v>70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1"/>
      <c r="L42" s="170"/>
      <c r="M42" s="118"/>
      <c r="N42" s="111"/>
      <c r="O42" s="23">
        <f t="shared" si="1"/>
        <v>0</v>
      </c>
      <c r="R42" s="1" t="s">
        <v>70</v>
      </c>
    </row>
    <row r="43" spans="1:18" ht="51" customHeight="1" outlineLevel="1">
      <c r="A43" s="146" t="str">
        <f>ПТО!A2</f>
        <v>Техническое освидетельствование лифта.</v>
      </c>
      <c r="B43" s="146"/>
      <c r="C43" s="146"/>
      <c r="D43" s="146"/>
      <c r="E43" s="146"/>
      <c r="F43" s="147">
        <f>VLOOKUP(A43,ПТО!$A$2:$D$31,4,FALSE)</f>
        <v>4100</v>
      </c>
      <c r="G43" s="147"/>
      <c r="H43" s="19" t="str">
        <f>VLOOKUP(A43,ПТО!$A$2:$D$31,2,FALSE)</f>
        <v>ежегодно</v>
      </c>
      <c r="I43" s="148">
        <f>VLOOKUP(A43,ПТО!$A$2:$D$31,3,FALSE)</f>
        <v>1</v>
      </c>
      <c r="J43" s="148"/>
      <c r="K43" s="111"/>
      <c r="L43" s="170"/>
      <c r="M43" s="118"/>
      <c r="N43" s="111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6" t="str">
        <f>ПТО!A3</f>
        <v>Диагностика и ремонт датчика уличной температуры.</v>
      </c>
      <c r="B44" s="146"/>
      <c r="C44" s="146"/>
      <c r="D44" s="146"/>
      <c r="E44" s="146"/>
      <c r="F44" s="147">
        <f>VLOOKUP(A44,ПТО!$A$2:$D$31,4,FALSE)</f>
        <v>1073</v>
      </c>
      <c r="G44" s="147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11"/>
      <c r="L44" s="170"/>
      <c r="M44" s="118"/>
      <c r="N44" s="111"/>
      <c r="O44" s="23" t="str">
        <f t="shared" si="1"/>
        <v>Диагностика и ремонт датчика уличной температуры.</v>
      </c>
      <c r="R44" s="22" t="s">
        <v>71</v>
      </c>
    </row>
    <row r="45" spans="1:18" ht="51" customHeight="1" outlineLevel="1">
      <c r="A45" s="146" t="str">
        <f>ПТО!A4</f>
        <v>Замена датчиков давления на ТП.</v>
      </c>
      <c r="B45" s="146"/>
      <c r="C45" s="146"/>
      <c r="D45" s="146"/>
      <c r="E45" s="146"/>
      <c r="F45" s="147">
        <f>VLOOKUP(A45,ПТО!$A$2:$D$31,4,FALSE)</f>
        <v>4316</v>
      </c>
      <c r="G45" s="147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1"/>
      <c r="L45" s="170"/>
      <c r="M45" s="118"/>
      <c r="N45" s="111"/>
      <c r="O45" s="23" t="str">
        <f t="shared" si="1"/>
        <v>Замена датчиков давления на ТП.</v>
      </c>
      <c r="R45" s="22" t="s">
        <v>71</v>
      </c>
    </row>
    <row r="46" spans="1:18" ht="51" customHeight="1" outlineLevel="1">
      <c r="A46" s="146" t="str">
        <f>ПТО!A5</f>
        <v>Замена АКБ станции управления пассажирским лифтом.</v>
      </c>
      <c r="B46" s="146"/>
      <c r="C46" s="146"/>
      <c r="D46" s="146"/>
      <c r="E46" s="146"/>
      <c r="F46" s="147">
        <f>VLOOKUP(A46,ПТО!$A$2:$D$31,4,FALSE)</f>
        <v>1650</v>
      </c>
      <c r="G46" s="147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1"/>
      <c r="L46" s="170"/>
      <c r="M46" s="118"/>
      <c r="N46" s="111"/>
      <c r="O46" s="23" t="str">
        <f t="shared" si="1"/>
        <v>Замена АКБ станции управления пассажирским лифтом.</v>
      </c>
      <c r="R46" s="22" t="s">
        <v>71</v>
      </c>
    </row>
    <row r="47" spans="1:18" ht="51" customHeight="1" outlineLevel="1">
      <c r="A47" s="146" t="str">
        <f>ПТО!A6</f>
        <v>Частичный ремонт отмостки (16,5 м*2).</v>
      </c>
      <c r="B47" s="146"/>
      <c r="C47" s="146"/>
      <c r="D47" s="146"/>
      <c r="E47" s="146"/>
      <c r="F47" s="147">
        <f>VLOOKUP(A47,ПТО!$A$2:$D$31,4,FALSE)</f>
        <v>27225</v>
      </c>
      <c r="G47" s="147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1"/>
      <c r="L47" s="170"/>
      <c r="M47" s="118"/>
      <c r="N47" s="111"/>
      <c r="O47" s="23" t="str">
        <f t="shared" si="1"/>
        <v>Частичный ремонт отмостки (16,5 м*2).</v>
      </c>
      <c r="R47" s="22" t="s">
        <v>71</v>
      </c>
    </row>
    <row r="48" spans="1:18" ht="51" hidden="1" customHeight="1" outlineLevel="1">
      <c r="A48" s="146">
        <f>ПТО!A7</f>
        <v>0</v>
      </c>
      <c r="B48" s="146"/>
      <c r="C48" s="146"/>
      <c r="D48" s="146"/>
      <c r="E48" s="146"/>
      <c r="F48" s="147" t="e">
        <f>VLOOKUP(A48,ПТО!$A$2:$D$31,4,FALSE)</f>
        <v>#N/A</v>
      </c>
      <c r="G48" s="147"/>
      <c r="H48" s="25" t="e">
        <f>VLOOKUP(A48,ПТО!$A$2:$D$31,2,FALSE)</f>
        <v>#N/A</v>
      </c>
      <c r="I48" s="148" t="e">
        <f>VLOOKUP(A48,ПТО!$A$2:$D$31,3,FALSE)</f>
        <v>#N/A</v>
      </c>
      <c r="J48" s="148"/>
      <c r="K48" s="111"/>
      <c r="L48" s="170"/>
      <c r="M48" s="118"/>
      <c r="N48" s="111"/>
      <c r="O48" s="23">
        <f t="shared" si="1"/>
        <v>0</v>
      </c>
      <c r="R48" s="22" t="s">
        <v>71</v>
      </c>
    </row>
    <row r="49" spans="1:18" ht="51" hidden="1" customHeight="1" outlineLevel="1">
      <c r="A49" s="146">
        <f>ПТО!A8</f>
        <v>0</v>
      </c>
      <c r="B49" s="146"/>
      <c r="C49" s="146"/>
      <c r="D49" s="146"/>
      <c r="E49" s="146"/>
      <c r="F49" s="147" t="e">
        <f>VLOOKUP(A49,ПТО!$A$2:$D$31,4,FALSE)</f>
        <v>#N/A</v>
      </c>
      <c r="G49" s="147"/>
      <c r="H49" s="25" t="e">
        <f>VLOOKUP(A49,ПТО!$A$2:$D$31,2,FALSE)</f>
        <v>#N/A</v>
      </c>
      <c r="I49" s="148" t="e">
        <f>VLOOKUP(A49,ПТО!$A$2:$D$31,3,FALSE)</f>
        <v>#N/A</v>
      </c>
      <c r="J49" s="148"/>
      <c r="K49" s="111"/>
      <c r="L49" s="170"/>
      <c r="M49" s="118"/>
      <c r="N49" s="111"/>
      <c r="O49" s="23">
        <f t="shared" si="1"/>
        <v>0</v>
      </c>
      <c r="R49" s="22" t="s">
        <v>71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11"/>
      <c r="L50" s="170"/>
      <c r="M50" s="118"/>
      <c r="N50" s="111"/>
      <c r="O50" s="23">
        <f t="shared" si="1"/>
        <v>0</v>
      </c>
      <c r="R50" s="22" t="s">
        <v>71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1"/>
      <c r="L51" s="170"/>
      <c r="M51" s="118"/>
      <c r="N51" s="111"/>
      <c r="O51" s="23">
        <f t="shared" si="1"/>
        <v>0</v>
      </c>
      <c r="R51" s="22" t="s">
        <v>71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1"/>
      <c r="L52" s="170"/>
      <c r="M52" s="118"/>
      <c r="N52" s="111"/>
      <c r="O52" s="23">
        <f t="shared" si="1"/>
        <v>0</v>
      </c>
      <c r="R52" s="22" t="s">
        <v>71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1"/>
      <c r="L53" s="170"/>
      <c r="M53" s="118"/>
      <c r="N53" s="111"/>
      <c r="O53" s="23">
        <f t="shared" si="1"/>
        <v>0</v>
      </c>
      <c r="R53" s="22" t="s">
        <v>71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1"/>
      <c r="L54" s="170"/>
      <c r="M54" s="118"/>
      <c r="N54" s="111"/>
      <c r="O54" s="23">
        <f t="shared" si="1"/>
        <v>0</v>
      </c>
      <c r="R54" s="22" t="s">
        <v>71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1"/>
      <c r="L55" s="170"/>
      <c r="M55" s="118"/>
      <c r="N55" s="111"/>
      <c r="O55" s="23">
        <f t="shared" si="1"/>
        <v>0</v>
      </c>
      <c r="R55" s="22" t="s">
        <v>71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1"/>
      <c r="L56" s="170"/>
      <c r="M56" s="118"/>
      <c r="N56" s="111"/>
      <c r="O56" s="23">
        <f t="shared" si="1"/>
        <v>0</v>
      </c>
      <c r="R56" s="22" t="s">
        <v>71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1"/>
      <c r="L57" s="170"/>
      <c r="M57" s="118"/>
      <c r="N57" s="111"/>
      <c r="O57" s="23">
        <f t="shared" si="1"/>
        <v>0</v>
      </c>
      <c r="R57" s="22" t="s">
        <v>71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1"/>
      <c r="L58" s="170"/>
      <c r="M58" s="118"/>
      <c r="N58" s="111"/>
      <c r="O58" s="23">
        <f t="shared" si="1"/>
        <v>0</v>
      </c>
      <c r="R58" s="22" t="s">
        <v>71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1"/>
      <c r="L59" s="170"/>
      <c r="M59" s="118"/>
      <c r="N59" s="111"/>
      <c r="O59" s="23">
        <f t="shared" si="1"/>
        <v>0</v>
      </c>
      <c r="R59" s="22" t="s">
        <v>71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1"/>
      <c r="L60" s="170"/>
      <c r="M60" s="118"/>
      <c r="N60" s="111"/>
      <c r="O60" s="23">
        <f t="shared" si="1"/>
        <v>0</v>
      </c>
      <c r="R60" s="22" t="s">
        <v>71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1"/>
      <c r="L61" s="170"/>
      <c r="M61" s="118"/>
      <c r="N61" s="111"/>
      <c r="O61" s="23">
        <f t="shared" si="1"/>
        <v>0</v>
      </c>
      <c r="R61" s="22" t="s">
        <v>71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1"/>
      <c r="L62" s="170"/>
      <c r="M62" s="118"/>
      <c r="N62" s="111"/>
      <c r="O62" s="23">
        <f t="shared" si="1"/>
        <v>0</v>
      </c>
      <c r="R62" s="22" t="s">
        <v>71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1"/>
      <c r="L63" s="170"/>
      <c r="M63" s="118"/>
      <c r="N63" s="111"/>
      <c r="O63" s="23">
        <f t="shared" si="1"/>
        <v>0</v>
      </c>
      <c r="R63" s="22" t="s">
        <v>71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1"/>
      <c r="L64" s="170"/>
      <c r="M64" s="118"/>
      <c r="N64" s="111"/>
      <c r="O64" s="23">
        <f t="shared" si="1"/>
        <v>0</v>
      </c>
      <c r="R64" s="22" t="s">
        <v>71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1"/>
      <c r="L65" s="170"/>
      <c r="M65" s="118"/>
      <c r="N65" s="111"/>
      <c r="O65" s="23">
        <f t="shared" si="1"/>
        <v>0</v>
      </c>
      <c r="R65" s="22" t="s">
        <v>71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1"/>
      <c r="L66" s="170"/>
      <c r="M66" s="118"/>
      <c r="N66" s="111"/>
      <c r="O66" s="23">
        <f t="shared" si="1"/>
        <v>0</v>
      </c>
      <c r="R66" s="22" t="s">
        <v>71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1"/>
      <c r="L67" s="170"/>
      <c r="M67" s="118"/>
      <c r="N67" s="111"/>
      <c r="O67" s="23">
        <f t="shared" si="1"/>
        <v>0</v>
      </c>
      <c r="R67" s="22" t="s">
        <v>71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1"/>
      <c r="L68" s="170"/>
      <c r="M68" s="118"/>
      <c r="N68" s="111"/>
      <c r="O68" s="23">
        <f t="shared" si="1"/>
        <v>0</v>
      </c>
      <c r="R68" s="22" t="s">
        <v>71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1"/>
      <c r="L69" s="170"/>
      <c r="M69" s="118"/>
      <c r="N69" s="111"/>
      <c r="O69" s="23">
        <f t="shared" si="1"/>
        <v>0</v>
      </c>
      <c r="R69" s="22" t="s">
        <v>71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1"/>
      <c r="L70" s="170"/>
      <c r="M70" s="118"/>
      <c r="N70" s="111"/>
      <c r="O70" s="23">
        <f t="shared" si="1"/>
        <v>0</v>
      </c>
      <c r="R70" s="22" t="s">
        <v>71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8"/>
      <c r="L71" s="170"/>
      <c r="M71" s="118"/>
      <c r="N71" s="118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1"/>
      <c r="L72" s="170"/>
      <c r="M72" s="118"/>
      <c r="N72" s="111"/>
      <c r="O72" s="23">
        <f t="shared" si="1"/>
        <v>0</v>
      </c>
      <c r="R72" s="22" t="s">
        <v>71</v>
      </c>
    </row>
    <row r="73" spans="1:16384">
      <c r="A73" s="106" t="s">
        <v>174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64" t="s">
        <v>26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1"/>
      <c r="L75" s="153"/>
      <c r="M75" s="111"/>
      <c r="N75" s="111"/>
      <c r="O75" s="71" t="s">
        <v>99</v>
      </c>
    </row>
    <row r="76" spans="1:16384" ht="18.75" customHeight="1" outlineLevel="1">
      <c r="A76" s="164" t="s">
        <v>27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1"/>
      <c r="L76" s="153"/>
      <c r="M76" s="111"/>
      <c r="N76" s="111"/>
      <c r="O76" s="71" t="s">
        <v>100</v>
      </c>
    </row>
    <row r="77" spans="1:16384" ht="21.75" customHeight="1" outlineLevel="1">
      <c r="A77" s="164" t="s">
        <v>28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1"/>
      <c r="L77" s="153"/>
      <c r="M77" s="111"/>
      <c r="N77" s="111"/>
      <c r="O77" s="71" t="s">
        <v>101</v>
      </c>
    </row>
    <row r="78" spans="1:16384" ht="18.75" customHeight="1" outlineLevel="1">
      <c r="A78" s="164" t="s">
        <v>29</v>
      </c>
      <c r="B78" s="164"/>
      <c r="C78" s="164"/>
      <c r="D78" s="164"/>
      <c r="E78" s="164"/>
      <c r="F78" s="164"/>
      <c r="G78" s="164"/>
      <c r="H78" s="164"/>
      <c r="I78" s="164"/>
      <c r="J78" s="98">
        <f>VLOOKUP(O78,АО,3,FALSE)</f>
        <v>0</v>
      </c>
      <c r="K78" s="111"/>
      <c r="L78" s="153"/>
      <c r="M78" s="111"/>
      <c r="N78" s="111"/>
      <c r="O78" s="71" t="s">
        <v>102</v>
      </c>
    </row>
    <row r="79" spans="1:16384">
      <c r="A79" s="117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54" t="s">
        <v>1</v>
      </c>
      <c r="B81" s="154"/>
      <c r="C81" s="154"/>
      <c r="D81" s="154"/>
      <c r="E81" s="154"/>
      <c r="F81" s="154"/>
      <c r="G81" s="154"/>
      <c r="H81" s="154"/>
      <c r="I81" s="154"/>
      <c r="J81" s="98">
        <f t="shared" ref="J81:J90" si="2">VLOOKUP(O81,АО,3,FALSE)</f>
        <v>0</v>
      </c>
      <c r="K81" s="111"/>
      <c r="L81" s="171"/>
      <c r="M81" s="111"/>
      <c r="N81" s="111"/>
      <c r="O81" s="71" t="s">
        <v>103</v>
      </c>
    </row>
    <row r="82" spans="1:15" outlineLevel="1">
      <c r="A82" s="154" t="s">
        <v>2</v>
      </c>
      <c r="B82" s="154"/>
      <c r="C82" s="154"/>
      <c r="D82" s="154"/>
      <c r="E82" s="154"/>
      <c r="F82" s="154"/>
      <c r="G82" s="154"/>
      <c r="H82" s="154"/>
      <c r="I82" s="154"/>
      <c r="J82" s="98">
        <f t="shared" si="2"/>
        <v>0</v>
      </c>
      <c r="K82" s="111"/>
      <c r="L82" s="171"/>
      <c r="M82" s="111"/>
      <c r="N82" s="111"/>
      <c r="O82" s="71" t="s">
        <v>104</v>
      </c>
    </row>
    <row r="83" spans="1:15" outlineLevel="1">
      <c r="A83" s="161" t="s">
        <v>3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142135.13</v>
      </c>
      <c r="K83" s="111"/>
      <c r="L83" s="171"/>
      <c r="M83" s="111"/>
      <c r="N83" s="111"/>
      <c r="O83" s="71" t="s">
        <v>105</v>
      </c>
    </row>
    <row r="84" spans="1:15" outlineLevel="1">
      <c r="A84" s="161" t="s">
        <v>15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71"/>
      <c r="M84" s="111"/>
      <c r="N84" s="111"/>
      <c r="O84" s="71" t="s">
        <v>106</v>
      </c>
    </row>
    <row r="85" spans="1:15" outlineLevel="1">
      <c r="A85" s="161" t="s">
        <v>16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71"/>
      <c r="M85" s="111"/>
      <c r="N85" s="111"/>
      <c r="O85" s="71" t="s">
        <v>107</v>
      </c>
    </row>
    <row r="86" spans="1:15" outlineLevel="1">
      <c r="A86" s="161" t="s">
        <v>17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79794.210000000006</v>
      </c>
      <c r="K86" s="111"/>
      <c r="L86" s="171"/>
      <c r="M86" s="111"/>
      <c r="N86" s="111"/>
      <c r="O86" s="71" t="s">
        <v>108</v>
      </c>
    </row>
    <row r="87" spans="1:15" ht="18.75" customHeight="1" outlineLevel="1">
      <c r="A87" s="161" t="s">
        <v>26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71"/>
      <c r="M87" s="111"/>
      <c r="N87" s="111"/>
      <c r="O87" s="71" t="s">
        <v>109</v>
      </c>
    </row>
    <row r="88" spans="1:15" ht="18.75" customHeight="1" outlineLevel="1">
      <c r="A88" s="161" t="s">
        <v>27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71"/>
      <c r="M88" s="111"/>
      <c r="N88" s="111"/>
      <c r="O88" s="71" t="s">
        <v>110</v>
      </c>
    </row>
    <row r="89" spans="1:15" ht="18.75" customHeight="1" outlineLevel="1">
      <c r="A89" s="161" t="s">
        <v>28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71"/>
      <c r="M89" s="111"/>
      <c r="N89" s="111"/>
      <c r="O89" s="71" t="s">
        <v>111</v>
      </c>
    </row>
    <row r="90" spans="1:15" ht="18.75" customHeight="1" outlineLevel="1">
      <c r="A90" s="161" t="s">
        <v>29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71"/>
      <c r="M90" s="111"/>
      <c r="N90" s="111"/>
      <c r="O90" s="71" t="s">
        <v>112</v>
      </c>
    </row>
    <row r="91" spans="1:15">
      <c r="A91" s="106" t="s">
        <v>174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55" t="s">
        <v>47</v>
      </c>
      <c r="B93" s="155"/>
      <c r="C93" s="155"/>
      <c r="D93" s="158" t="s">
        <v>48</v>
      </c>
      <c r="E93" s="158"/>
      <c r="F93" s="10" t="s">
        <v>49</v>
      </c>
      <c r="G93" s="155" t="s">
        <v>50</v>
      </c>
      <c r="H93" s="155"/>
      <c r="I93" s="155"/>
      <c r="J93" s="155"/>
      <c r="K93" s="111"/>
      <c r="L93" s="111"/>
      <c r="M93" s="111"/>
      <c r="N93" s="111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6">
        <f>VLOOKUP("эл",АО,5,FALSE)</f>
        <v>152874.85</v>
      </c>
      <c r="H94" s="157"/>
      <c r="I94" s="157"/>
      <c r="J94" s="157"/>
      <c r="K94" s="1" t="str">
        <f>VLOOKUP("эл",АО,2,FALSE)</f>
        <v>Электроснабжение</v>
      </c>
      <c r="L94" s="172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127395.71</v>
      </c>
      <c r="L95" s="172"/>
      <c r="O95" s="1" t="s">
        <v>113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171985.68</v>
      </c>
      <c r="L96" s="172"/>
      <c r="O96" s="1" t="s">
        <v>114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72"/>
      <c r="O97" s="1" t="s">
        <v>115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152874.85</v>
      </c>
      <c r="L98" s="172"/>
      <c r="O98" s="1" t="s">
        <v>116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152874.85</v>
      </c>
      <c r="L99" s="172"/>
      <c r="O99" s="1" t="s">
        <v>117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72"/>
      <c r="O100" s="1" t="s">
        <v>118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72"/>
      <c r="O101" s="1" t="s">
        <v>119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6">
        <f>VLOOKUP("хвс",АО,5,FALSE)</f>
        <v>49753.53</v>
      </c>
      <c r="H102" s="157"/>
      <c r="I102" s="157"/>
      <c r="J102" s="157"/>
      <c r="L102" s="172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3769.21</v>
      </c>
      <c r="L103" s="172"/>
      <c r="O103" s="1" t="s">
        <v>122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58976.91</v>
      </c>
      <c r="L104" s="172"/>
      <c r="O104" s="1" t="s">
        <v>123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72"/>
      <c r="O105" s="1" t="s">
        <v>124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49753.53</v>
      </c>
      <c r="L106" s="172"/>
      <c r="O106" s="1" t="s">
        <v>125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49753.53</v>
      </c>
      <c r="L107" s="172"/>
      <c r="O107" s="1" t="s">
        <v>126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72"/>
      <c r="O108" s="1" t="s">
        <v>127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72"/>
      <c r="O109" s="1" t="s">
        <v>128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6">
        <f>VLOOKUP("воо",АО,5,FALSE)</f>
        <v>95880.45</v>
      </c>
      <c r="H110" s="157"/>
      <c r="I110" s="157"/>
      <c r="J110" s="157"/>
      <c r="L110" s="172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5977.58</v>
      </c>
      <c r="L111" s="172"/>
      <c r="O111" s="1" t="s">
        <v>130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114146.96</v>
      </c>
      <c r="L112" s="172"/>
      <c r="O112" s="1" t="s">
        <v>131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72"/>
      <c r="O113" s="1" t="s">
        <v>132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95880.45</v>
      </c>
      <c r="L114" s="172"/>
      <c r="O114" s="1" t="s">
        <v>133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95880.45</v>
      </c>
      <c r="L115" s="172"/>
      <c r="O115" s="1" t="s">
        <v>134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72"/>
      <c r="O116" s="1" t="s">
        <v>135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72"/>
      <c r="O117" s="1" t="s">
        <v>136</v>
      </c>
    </row>
    <row r="118" spans="1:15" ht="32.25" customHeight="1" outlineLevel="1">
      <c r="A118" s="159" t="str">
        <f>IF(VLOOKUP("тко",АО,3,FALSE)&gt;0,"Обращение с ТКО",0)</f>
        <v>Обращение с ТКО</v>
      </c>
      <c r="B118" s="159"/>
      <c r="C118" s="159"/>
      <c r="D118" s="157" t="str">
        <f>IF(VLOOKUP("тко",АО,3,FALSE)&gt;0,VLOOKUP("тко",АО,3,FALSE),0)</f>
        <v>Предоставляется</v>
      </c>
      <c r="E118" s="157"/>
      <c r="F118" s="13" t="str">
        <f>IF(VLOOKUP("тко",АО,3,FALSE)&gt;0,VLOOKUP("тко",АО,4,FALSE),0)</f>
        <v>куб.м.</v>
      </c>
      <c r="G118" s="156">
        <f>VLOOKUP("тко",АО,5,FALSE)</f>
        <v>106887.53</v>
      </c>
      <c r="H118" s="157"/>
      <c r="I118" s="157"/>
      <c r="J118" s="157"/>
      <c r="L118" s="48"/>
    </row>
    <row r="119" spans="1:15" ht="32.25" customHeight="1" outlineLevel="2">
      <c r="A119" s="154" t="str">
        <f t="shared" ref="A119:A125" si="8">IF(VLOOKUP("тко",АО,3,FALSE)&gt;0,VLOOKUP(O119,АО,2,FALSE),0)</f>
        <v>Общий объем потребления, нат. показ.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198.73</v>
      </c>
      <c r="L119" s="48"/>
      <c r="O119" s="1" t="s">
        <v>138</v>
      </c>
    </row>
    <row r="120" spans="1:15" ht="32.25" customHeight="1" outlineLevel="2">
      <c r="A120" s="154" t="str">
        <f t="shared" si="8"/>
        <v>Оплачено потребителями, руб.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115898.05</v>
      </c>
      <c r="L120" s="48"/>
      <c r="O120" s="1" t="s">
        <v>139</v>
      </c>
    </row>
    <row r="121" spans="1:15" ht="32.25" customHeight="1" outlineLevel="2">
      <c r="A121" s="154" t="str">
        <f t="shared" si="8"/>
        <v>Задолженность потребителей, руб.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8"/>
      <c r="O121" s="1" t="s">
        <v>140</v>
      </c>
    </row>
    <row r="122" spans="1:15" ht="32.25" customHeight="1" outlineLevel="2">
      <c r="A122" s="154" t="str">
        <f t="shared" si="8"/>
        <v>Начислено поставщиком (поставщиками) коммунального ресурса, руб.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106887.53</v>
      </c>
      <c r="L122" s="48"/>
      <c r="O122" s="1" t="s">
        <v>141</v>
      </c>
    </row>
    <row r="123" spans="1:15" ht="32.25" customHeight="1" outlineLevel="2">
      <c r="A123" s="154" t="str">
        <f t="shared" si="8"/>
        <v>Оплачено поставщику (поставщикам) коммунального ресурса, руб.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106887.53</v>
      </c>
      <c r="L123" s="48"/>
      <c r="O123" s="1" t="s">
        <v>142</v>
      </c>
    </row>
    <row r="124" spans="1:15" ht="32.25" customHeight="1" outlineLevel="2">
      <c r="A124" s="154" t="str">
        <f t="shared" si="8"/>
        <v>Задолженность перед поставщиком (поставщиками) коммунального ресурса, руб.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54" t="str">
        <f t="shared" si="8"/>
        <v>Размер пени и штрафов, уплаченных поставщику (поставщикам) коммунального ресурса, руб.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8"/>
      <c r="O125" s="1" t="s">
        <v>144</v>
      </c>
    </row>
    <row r="126" spans="1:15" ht="32.25" customHeight="1" outlineLevel="1">
      <c r="A126" s="159" t="str">
        <f>IF(VLOOKUP("гвс",АО,3,FALSE)&gt;0,"Горячее водоснабжение",0)</f>
        <v>Горячее водоснабжение</v>
      </c>
      <c r="B126" s="159"/>
      <c r="C126" s="159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6">
        <f>VLOOKUP("гвс",АО,5,FALSE)</f>
        <v>28237.26</v>
      </c>
      <c r="H126" s="157"/>
      <c r="I126" s="157"/>
      <c r="J126" s="157"/>
      <c r="L126" s="48"/>
    </row>
    <row r="127" spans="1:15" ht="32.25" customHeight="1" outlineLevel="2">
      <c r="A127" s="154" t="str">
        <f t="shared" ref="A127:A133" si="10">IF(VLOOKUP("гвс",АО,3,FALSE)&gt;0,VLOOKUP(O127,АО,2,FALSE),0)</f>
        <v>Общий объем потребления, нат. показ.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2139.19</v>
      </c>
      <c r="L127" s="48"/>
      <c r="O127" s="1" t="s">
        <v>146</v>
      </c>
    </row>
    <row r="128" spans="1:15" ht="32.25" customHeight="1" outlineLevel="2">
      <c r="A128" s="154" t="str">
        <f t="shared" si="10"/>
        <v>Оплачено потребителями, руб.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34967.019999999997</v>
      </c>
      <c r="L128" s="48"/>
      <c r="O128" s="1" t="s">
        <v>147</v>
      </c>
    </row>
    <row r="129" spans="1:15" ht="32.25" customHeight="1" outlineLevel="2">
      <c r="A129" s="154" t="str">
        <f t="shared" si="10"/>
        <v>Задолженность потребителей, руб.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8"/>
      <c r="O129" s="1" t="s">
        <v>148</v>
      </c>
    </row>
    <row r="130" spans="1:15" ht="32.25" customHeight="1" outlineLevel="2">
      <c r="A130" s="154" t="str">
        <f t="shared" si="10"/>
        <v>Начислено поставщиком (поставщиками) коммунального ресурса, руб.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28237.26</v>
      </c>
      <c r="L130" s="48"/>
      <c r="O130" s="1" t="s">
        <v>149</v>
      </c>
    </row>
    <row r="131" spans="1:15" ht="32.25" customHeight="1" outlineLevel="2">
      <c r="A131" s="154" t="str">
        <f t="shared" si="10"/>
        <v>Оплачено поставщику (поставщикам) коммунального ресурса, руб.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28237.26</v>
      </c>
      <c r="L131" s="48"/>
      <c r="O131" s="1" t="s">
        <v>150</v>
      </c>
    </row>
    <row r="132" spans="1:15" ht="32.25" customHeight="1" outlineLevel="2">
      <c r="A132" s="154" t="str">
        <f t="shared" si="10"/>
        <v>Задолженность перед поставщиком (поставщиками) коммунального ресурса, руб.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8"/>
      <c r="O132" s="1" t="s">
        <v>151</v>
      </c>
    </row>
    <row r="133" spans="1:15" ht="32.25" customHeight="1" outlineLevel="2">
      <c r="A133" s="154" t="str">
        <f t="shared" si="10"/>
        <v>Размер пени и штрафов, уплаченных поставщику (поставщикам) коммунального ресурса, руб.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7"/>
      <c r="I134" s="157"/>
      <c r="J134" s="157"/>
      <c r="L134" s="48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8"/>
      <c r="O141" s="1" t="s">
        <v>160</v>
      </c>
    </row>
    <row r="143" spans="1:15">
      <c r="A143" s="11" t="s">
        <v>43</v>
      </c>
    </row>
    <row r="144" spans="1:15" ht="18.75" customHeight="1" outlineLevel="1">
      <c r="A144" s="154" t="s">
        <v>44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170</v>
      </c>
    </row>
    <row r="145" spans="1:15" ht="18.75" customHeight="1" outlineLevel="1">
      <c r="A145" s="154" t="s">
        <v>45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54" t="s">
        <v>173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94888.58</v>
      </c>
      <c r="O146" t="s">
        <v>172</v>
      </c>
    </row>
    <row r="149" spans="1:15" ht="52.5" customHeight="1">
      <c r="A149" s="150" t="s">
        <v>178</v>
      </c>
      <c r="B149" s="150"/>
      <c r="C149" s="150"/>
      <c r="D149" s="150"/>
      <c r="E149" s="150"/>
      <c r="F149" s="150"/>
      <c r="G149" s="150"/>
      <c r="H149" s="150"/>
      <c r="I149" s="150"/>
      <c r="J149" s="150"/>
    </row>
    <row r="151" spans="1:15">
      <c r="A151" s="1" t="s">
        <v>183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49" t="s">
        <v>184</v>
      </c>
      <c r="B154" s="149"/>
      <c r="C154" s="149"/>
      <c r="D154" s="149"/>
      <c r="E154" s="27">
        <f>ПТО!G1</f>
        <v>-106553.73</v>
      </c>
    </row>
    <row r="155" spans="1:15" ht="34.5" customHeight="1">
      <c r="A155" s="151" t="s">
        <v>188</v>
      </c>
      <c r="B155" s="151"/>
      <c r="C155" s="151"/>
      <c r="D155" s="151"/>
      <c r="E155" s="28">
        <f>J13</f>
        <v>153419.4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18</v>
      </c>
      <c r="B157" s="152"/>
      <c r="C157" s="152"/>
      <c r="D157" s="152"/>
      <c r="E157" s="152"/>
      <c r="F157" s="152" t="s">
        <v>19</v>
      </c>
      <c r="G157" s="152"/>
      <c r="H157" s="20" t="s">
        <v>56</v>
      </c>
      <c r="I157" s="152" t="s">
        <v>20</v>
      </c>
      <c r="J157" s="152"/>
    </row>
    <row r="158" spans="1:15" ht="29.25" customHeight="1">
      <c r="A158" s="146" t="str">
        <f t="shared" ref="A158:A163" si="14">IF(N158&gt;0,N158,0)</f>
        <v>Техническое освидетельствование лифта.</v>
      </c>
      <c r="B158" s="146"/>
      <c r="C158" s="146"/>
      <c r="D158" s="146"/>
      <c r="E158" s="146"/>
      <c r="F158" s="147">
        <f t="shared" ref="F158:F163" si="15">IF(ISERROR(VLOOKUP(A158,$A$28:$J$72,6,FALSE)),0,VLOOKUP(A158,$A$28:$J$72,6,FALSE))</f>
        <v>4100</v>
      </c>
      <c r="G158" s="147"/>
      <c r="H158" s="24" t="str">
        <f t="shared" ref="H158:H187" si="16">VLOOKUP(A158,$A$28:$J$72,8,FALSE)</f>
        <v>ежегодно</v>
      </c>
      <c r="I158" s="148">
        <f t="shared" ref="I158:I161" si="17">VLOOKUP(A158,$A$28:$J$72,9,FALSE)</f>
        <v>1</v>
      </c>
      <c r="J158" s="148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6" t="str">
        <f t="shared" si="14"/>
        <v>Диагностика и ремонт датчика уличной температуры.</v>
      </c>
      <c r="B159" s="146"/>
      <c r="C159" s="146"/>
      <c r="D159" s="146"/>
      <c r="E159" s="146"/>
      <c r="F159" s="147">
        <f t="shared" si="15"/>
        <v>1073</v>
      </c>
      <c r="G159" s="147"/>
      <c r="H159" s="24" t="str">
        <f t="shared" si="16"/>
        <v>разово</v>
      </c>
      <c r="I159" s="148">
        <f t="shared" si="17"/>
        <v>1</v>
      </c>
      <c r="J159" s="148"/>
      <c r="M159" s="22" t="s">
        <v>71</v>
      </c>
      <c r="N159" s="1" t="str">
        <v>Диагностика и ремонт датчика уличной температуры.</v>
      </c>
    </row>
    <row r="160" spans="1:15" ht="28.5" customHeight="1">
      <c r="A160" s="146" t="str">
        <f t="shared" si="14"/>
        <v>Замена датчиков давления на ТП.</v>
      </c>
      <c r="B160" s="146"/>
      <c r="C160" s="146"/>
      <c r="D160" s="146"/>
      <c r="E160" s="146"/>
      <c r="F160" s="147">
        <f t="shared" si="15"/>
        <v>4316</v>
      </c>
      <c r="G160" s="147"/>
      <c r="H160" s="24" t="str">
        <f t="shared" si="16"/>
        <v>разово</v>
      </c>
      <c r="I160" s="148">
        <f t="shared" si="17"/>
        <v>1</v>
      </c>
      <c r="J160" s="148"/>
      <c r="M160" s="22" t="s">
        <v>71</v>
      </c>
      <c r="N160" s="1" t="str">
        <v>Замена датчиков давления на ТП.</v>
      </c>
    </row>
    <row r="161" spans="1:14" ht="28.5" customHeight="1">
      <c r="A161" s="146" t="str">
        <f>IF(N161&gt;0,N161,0)</f>
        <v>Замена АКБ станции управления пассажирским лифтом.</v>
      </c>
      <c r="B161" s="146"/>
      <c r="C161" s="146"/>
      <c r="D161" s="146"/>
      <c r="E161" s="146"/>
      <c r="F161" s="147">
        <f t="shared" si="15"/>
        <v>1650</v>
      </c>
      <c r="G161" s="147"/>
      <c r="H161" s="24" t="str">
        <f t="shared" si="16"/>
        <v>разово</v>
      </c>
      <c r="I161" s="148">
        <f t="shared" si="17"/>
        <v>1</v>
      </c>
      <c r="J161" s="148"/>
      <c r="M161" s="22" t="s">
        <v>71</v>
      </c>
      <c r="N161" s="1" t="str">
        <v>Замена АКБ станции управления пассажирским лифтом.</v>
      </c>
    </row>
    <row r="162" spans="1:14" ht="28.5" customHeight="1">
      <c r="A162" s="146" t="str">
        <f t="shared" si="14"/>
        <v>Частичный ремонт отмостки (16,5 м*2).</v>
      </c>
      <c r="B162" s="146"/>
      <c r="C162" s="146"/>
      <c r="D162" s="146"/>
      <c r="E162" s="146"/>
      <c r="F162" s="147">
        <f t="shared" si="15"/>
        <v>27225</v>
      </c>
      <c r="G162" s="147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71</v>
      </c>
      <c r="N162" s="1" t="str">
        <v>Частичный ремонт отмостки (16,5 м*2).</v>
      </c>
    </row>
    <row r="163" spans="1:14" ht="28.5" hidden="1" customHeight="1">
      <c r="A163" s="146">
        <f t="shared" si="14"/>
        <v>0</v>
      </c>
      <c r="B163" s="146"/>
      <c r="C163" s="146"/>
      <c r="D163" s="146"/>
      <c r="E163" s="146"/>
      <c r="F163" s="147">
        <f t="shared" si="15"/>
        <v>0</v>
      </c>
      <c r="G163" s="147"/>
      <c r="H163" s="24" t="e">
        <f t="shared" si="16"/>
        <v>#N/A</v>
      </c>
      <c r="I163" s="148" t="e">
        <f>VLOOKUP(A163,$A$28:$J$72,9,FALSE)</f>
        <v>#N/A</v>
      </c>
      <c r="J163" s="148"/>
      <c r="M163" s="22" t="s">
        <v>71</v>
      </c>
      <c r="N163" s="1">
        <v>0</v>
      </c>
    </row>
    <row r="164" spans="1:14" ht="28.5" hidden="1" customHeight="1">
      <c r="A164" s="146">
        <f t="shared" ref="A164:A187" si="18">IF(N164&gt;0,N164,0)</f>
        <v>0</v>
      </c>
      <c r="B164" s="146"/>
      <c r="C164" s="146"/>
      <c r="D164" s="146"/>
      <c r="E164" s="146"/>
      <c r="F164" s="147">
        <f t="shared" ref="F164:F187" si="19">IF(ISERROR(VLOOKUP(A164,$A$28:$J$72,6,FALSE)),0,VLOOKUP(A164,$A$28:$J$72,6,FALSE))</f>
        <v>0</v>
      </c>
      <c r="G164" s="147"/>
      <c r="H164" s="29" t="e">
        <f t="shared" si="16"/>
        <v>#N/A</v>
      </c>
      <c r="I164" s="148" t="e">
        <f t="shared" ref="I164:I187" si="20">VLOOKUP(A164,$A$28:$J$72,9,FALSE)</f>
        <v>#N/A</v>
      </c>
      <c r="J164" s="148"/>
      <c r="M164" s="22" t="s">
        <v>71</v>
      </c>
      <c r="N164" s="1">
        <v>0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47">
        <f t="shared" si="19"/>
        <v>0</v>
      </c>
      <c r="G165" s="147"/>
      <c r="H165" s="29" t="e">
        <f t="shared" si="16"/>
        <v>#N/A</v>
      </c>
      <c r="I165" s="148" t="e">
        <f t="shared" si="20"/>
        <v>#N/A</v>
      </c>
      <c r="J165" s="148"/>
      <c r="M165" s="22" t="s">
        <v>71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47">
        <f t="shared" si="19"/>
        <v>0</v>
      </c>
      <c r="G166" s="147"/>
      <c r="H166" s="29" t="e">
        <f t="shared" si="16"/>
        <v>#N/A</v>
      </c>
      <c r="I166" s="148" t="e">
        <f t="shared" si="20"/>
        <v>#N/A</v>
      </c>
      <c r="J166" s="148"/>
      <c r="M166" s="22" t="s">
        <v>71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47">
        <f t="shared" si="19"/>
        <v>0</v>
      </c>
      <c r="G167" s="147"/>
      <c r="H167" s="29" t="e">
        <f t="shared" si="16"/>
        <v>#N/A</v>
      </c>
      <c r="I167" s="148" t="e">
        <f t="shared" si="20"/>
        <v>#N/A</v>
      </c>
      <c r="J167" s="148"/>
      <c r="M167" s="22" t="s">
        <v>71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47">
        <f t="shared" si="19"/>
        <v>0</v>
      </c>
      <c r="G168" s="147"/>
      <c r="H168" s="29" t="e">
        <f t="shared" si="16"/>
        <v>#N/A</v>
      </c>
      <c r="I168" s="148" t="e">
        <f t="shared" si="20"/>
        <v>#N/A</v>
      </c>
      <c r="J168" s="148"/>
      <c r="M168" s="22" t="s">
        <v>71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47">
        <f t="shared" si="19"/>
        <v>0</v>
      </c>
      <c r="G169" s="147"/>
      <c r="H169" s="29" t="e">
        <f t="shared" si="16"/>
        <v>#N/A</v>
      </c>
      <c r="I169" s="148" t="e">
        <f t="shared" si="20"/>
        <v>#N/A</v>
      </c>
      <c r="J169" s="148"/>
      <c r="M169" s="22" t="s">
        <v>71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47">
        <f t="shared" si="19"/>
        <v>0</v>
      </c>
      <c r="G170" s="147"/>
      <c r="H170" s="29" t="e">
        <f t="shared" si="16"/>
        <v>#N/A</v>
      </c>
      <c r="I170" s="148" t="e">
        <f t="shared" si="20"/>
        <v>#N/A</v>
      </c>
      <c r="J170" s="148"/>
      <c r="M170" s="22" t="s">
        <v>71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47">
        <f t="shared" si="19"/>
        <v>0</v>
      </c>
      <c r="G171" s="147"/>
      <c r="H171" s="29" t="e">
        <f t="shared" si="16"/>
        <v>#N/A</v>
      </c>
      <c r="I171" s="148" t="e">
        <f t="shared" si="20"/>
        <v>#N/A</v>
      </c>
      <c r="J171" s="148"/>
      <c r="M171" s="22" t="s">
        <v>71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47">
        <f t="shared" si="19"/>
        <v>0</v>
      </c>
      <c r="G172" s="147"/>
      <c r="H172" s="29" t="e">
        <f t="shared" si="16"/>
        <v>#N/A</v>
      </c>
      <c r="I172" s="148" t="e">
        <f t="shared" si="20"/>
        <v>#N/A</v>
      </c>
      <c r="J172" s="148"/>
      <c r="M172" s="22" t="s">
        <v>71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47">
        <f t="shared" si="19"/>
        <v>0</v>
      </c>
      <c r="G173" s="147"/>
      <c r="H173" s="29" t="e">
        <f t="shared" si="16"/>
        <v>#N/A</v>
      </c>
      <c r="I173" s="148" t="e">
        <f t="shared" si="20"/>
        <v>#N/A</v>
      </c>
      <c r="J173" s="148"/>
      <c r="M173" s="22" t="s">
        <v>71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47">
        <f t="shared" si="19"/>
        <v>0</v>
      </c>
      <c r="G174" s="147"/>
      <c r="H174" s="29" t="e">
        <f t="shared" si="16"/>
        <v>#N/A</v>
      </c>
      <c r="I174" s="148" t="e">
        <f t="shared" si="20"/>
        <v>#N/A</v>
      </c>
      <c r="J174" s="148"/>
      <c r="M174" s="22" t="s">
        <v>71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47">
        <f t="shared" si="19"/>
        <v>0</v>
      </c>
      <c r="G175" s="147"/>
      <c r="H175" s="29" t="e">
        <f t="shared" si="16"/>
        <v>#N/A</v>
      </c>
      <c r="I175" s="148" t="e">
        <f t="shared" si="20"/>
        <v>#N/A</v>
      </c>
      <c r="J175" s="148"/>
      <c r="M175" s="22" t="s">
        <v>71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47">
        <f t="shared" si="19"/>
        <v>0</v>
      </c>
      <c r="G176" s="147"/>
      <c r="H176" s="29" t="e">
        <f t="shared" si="16"/>
        <v>#N/A</v>
      </c>
      <c r="I176" s="148" t="e">
        <f t="shared" si="20"/>
        <v>#N/A</v>
      </c>
      <c r="J176" s="148"/>
      <c r="M176" s="22" t="s">
        <v>71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47">
        <f t="shared" si="19"/>
        <v>0</v>
      </c>
      <c r="G177" s="147"/>
      <c r="H177" s="29" t="e">
        <f t="shared" si="16"/>
        <v>#N/A</v>
      </c>
      <c r="I177" s="148" t="e">
        <f t="shared" si="20"/>
        <v>#N/A</v>
      </c>
      <c r="J177" s="148"/>
      <c r="M177" s="22" t="s">
        <v>71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47">
        <f t="shared" si="19"/>
        <v>0</v>
      </c>
      <c r="G178" s="147"/>
      <c r="H178" s="29" t="e">
        <f t="shared" si="16"/>
        <v>#N/A</v>
      </c>
      <c r="I178" s="148" t="e">
        <f t="shared" si="20"/>
        <v>#N/A</v>
      </c>
      <c r="J178" s="148"/>
      <c r="M178" s="22" t="s">
        <v>71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47">
        <f t="shared" si="19"/>
        <v>0</v>
      </c>
      <c r="G179" s="147"/>
      <c r="H179" s="29" t="e">
        <f t="shared" si="16"/>
        <v>#N/A</v>
      </c>
      <c r="I179" s="148" t="e">
        <f t="shared" si="20"/>
        <v>#N/A</v>
      </c>
      <c r="J179" s="148"/>
      <c r="M179" s="22" t="s">
        <v>71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47">
        <f t="shared" si="19"/>
        <v>0</v>
      </c>
      <c r="G180" s="147"/>
      <c r="H180" s="29" t="e">
        <f t="shared" si="16"/>
        <v>#N/A</v>
      </c>
      <c r="I180" s="148" t="e">
        <f t="shared" si="20"/>
        <v>#N/A</v>
      </c>
      <c r="J180" s="148"/>
      <c r="M180" s="22" t="s">
        <v>71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47">
        <f t="shared" si="19"/>
        <v>0</v>
      </c>
      <c r="G181" s="147"/>
      <c r="H181" s="29" t="e">
        <f t="shared" si="16"/>
        <v>#N/A</v>
      </c>
      <c r="I181" s="148" t="e">
        <f t="shared" si="20"/>
        <v>#N/A</v>
      </c>
      <c r="J181" s="148"/>
      <c r="M181" s="22" t="s">
        <v>71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47">
        <f t="shared" si="19"/>
        <v>0</v>
      </c>
      <c r="G182" s="147"/>
      <c r="H182" s="29" t="e">
        <f t="shared" si="16"/>
        <v>#N/A</v>
      </c>
      <c r="I182" s="148" t="e">
        <f t="shared" si="20"/>
        <v>#N/A</v>
      </c>
      <c r="J182" s="148"/>
      <c r="M182" s="22" t="s">
        <v>71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47">
        <f t="shared" si="19"/>
        <v>0</v>
      </c>
      <c r="G183" s="147"/>
      <c r="H183" s="29" t="e">
        <f t="shared" si="16"/>
        <v>#N/A</v>
      </c>
      <c r="I183" s="148" t="e">
        <f t="shared" si="20"/>
        <v>#N/A</v>
      </c>
      <c r="J183" s="148"/>
      <c r="M183" s="22" t="s">
        <v>71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47">
        <f t="shared" si="19"/>
        <v>0</v>
      </c>
      <c r="G184" s="147"/>
      <c r="H184" s="29" t="e">
        <f t="shared" si="16"/>
        <v>#N/A</v>
      </c>
      <c r="I184" s="148" t="e">
        <f t="shared" si="20"/>
        <v>#N/A</v>
      </c>
      <c r="J184" s="148"/>
      <c r="M184" s="22" t="s">
        <v>71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47">
        <f t="shared" si="19"/>
        <v>0</v>
      </c>
      <c r="G185" s="147"/>
      <c r="H185" s="29" t="e">
        <f t="shared" si="16"/>
        <v>#N/A</v>
      </c>
      <c r="I185" s="148" t="e">
        <f t="shared" si="20"/>
        <v>#N/A</v>
      </c>
      <c r="J185" s="148"/>
      <c r="M185" s="22" t="s">
        <v>71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47">
        <f t="shared" si="19"/>
        <v>0</v>
      </c>
      <c r="G186" s="147"/>
      <c r="H186" s="29" t="e">
        <f t="shared" si="16"/>
        <v>#N/A</v>
      </c>
      <c r="I186" s="148" t="e">
        <f t="shared" si="20"/>
        <v>#N/A</v>
      </c>
      <c r="J186" s="148"/>
      <c r="M186" s="22" t="s">
        <v>71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47">
        <f t="shared" si="19"/>
        <v>0</v>
      </c>
      <c r="G187" s="147"/>
      <c r="H187" s="29" t="e">
        <f t="shared" si="16"/>
        <v>#N/A</v>
      </c>
      <c r="I187" s="148" t="e">
        <f t="shared" si="20"/>
        <v>#N/A</v>
      </c>
      <c r="J187" s="148"/>
      <c r="M187" s="22" t="s">
        <v>71</v>
      </c>
      <c r="N187" s="1">
        <v>0</v>
      </c>
    </row>
    <row r="188" spans="1:14" ht="29.25" customHeight="1">
      <c r="A188" s="106" t="s">
        <v>174</v>
      </c>
    </row>
    <row r="189" spans="1:14" ht="29.25" customHeight="1">
      <c r="A189" s="106" t="s">
        <v>174</v>
      </c>
    </row>
    <row r="190" spans="1:14" ht="36.75" customHeight="1">
      <c r="A190" s="149" t="s">
        <v>187</v>
      </c>
      <c r="B190" s="149"/>
      <c r="C190" s="149"/>
      <c r="D190" s="149"/>
      <c r="E190" s="27">
        <f>SUM(F158:G187)</f>
        <v>38364</v>
      </c>
    </row>
    <row r="191" spans="1:14" ht="51.75" customHeight="1">
      <c r="A191" s="149" t="s">
        <v>186</v>
      </c>
      <c r="B191" s="149"/>
      <c r="C191" s="149"/>
      <c r="D191" s="149"/>
      <c r="E191" s="27">
        <f>E190+E154-E155</f>
        <v>-221609.13</v>
      </c>
    </row>
    <row r="192" spans="1:14">
      <c r="A192" s="106" t="s">
        <v>174</v>
      </c>
    </row>
    <row r="193" spans="1:10" ht="62.25" customHeight="1">
      <c r="A193" s="174" t="s">
        <v>185</v>
      </c>
      <c r="B193" s="174"/>
      <c r="C193" s="174"/>
      <c r="D193" s="174"/>
      <c r="E193" s="174"/>
      <c r="F193" s="174"/>
      <c r="G193" s="174"/>
      <c r="H193" s="174"/>
      <c r="I193" s="174"/>
      <c r="J193" s="174"/>
    </row>
    <row r="194" spans="1:10">
      <c r="A194" s="173" t="str">
        <f>ПТО!F12</f>
        <v xml:space="preserve">  -  поверка (замена) манометров и термометров</v>
      </c>
      <c r="B194" s="173"/>
      <c r="C194" s="173"/>
      <c r="D194" s="173"/>
      <c r="E194" s="173"/>
      <c r="F194" s="173"/>
      <c r="G194" s="173"/>
      <c r="H194" s="50">
        <f>ПТО!G12</f>
        <v>1200</v>
      </c>
      <c r="I194" s="51" t="s">
        <v>74</v>
      </c>
    </row>
    <row r="195" spans="1:10" ht="18.75" customHeight="1">
      <c r="A195" s="173" t="str">
        <f>ПТО!F13</f>
        <v xml:space="preserve">  -  техническое освидетельствование лифта</v>
      </c>
      <c r="B195" s="173"/>
      <c r="C195" s="173"/>
      <c r="D195" s="173"/>
      <c r="E195" s="173"/>
      <c r="F195" s="173"/>
      <c r="G195" s="173"/>
      <c r="H195" s="50">
        <f>ПТО!G13</f>
        <v>4100</v>
      </c>
      <c r="I195" s="51" t="s">
        <v>74</v>
      </c>
    </row>
    <row r="196" spans="1:10" ht="18.75" customHeight="1">
      <c r="A196" s="173" t="str">
        <f>ПТО!F14</f>
        <v xml:space="preserve">  -  монтаж дополнительных камер видеонаблюдения</v>
      </c>
      <c r="B196" s="173"/>
      <c r="C196" s="173"/>
      <c r="D196" s="173"/>
      <c r="E196" s="173"/>
      <c r="F196" s="173"/>
      <c r="G196" s="173"/>
      <c r="H196" s="50">
        <f>ПТО!G14</f>
        <v>30000</v>
      </c>
      <c r="I196" s="51" t="s">
        <v>74</v>
      </c>
    </row>
    <row r="197" spans="1:10" ht="18.75" customHeight="1">
      <c r="A197" s="173" t="str">
        <f>ПТО!F15</f>
        <v xml:space="preserve">  -  благоустройство придомовой территории</v>
      </c>
      <c r="B197" s="173"/>
      <c r="C197" s="173"/>
      <c r="D197" s="173"/>
      <c r="E197" s="173"/>
      <c r="F197" s="173"/>
      <c r="G197" s="173"/>
      <c r="H197" s="50">
        <f>ПТО!G15</f>
        <v>5000</v>
      </c>
      <c r="I197" s="51" t="s">
        <v>74</v>
      </c>
    </row>
    <row r="198" spans="1:10" ht="18.75" customHeight="1">
      <c r="A198" s="173" t="str">
        <f>ПТО!F16</f>
        <v xml:space="preserve">  -  замена тяговых канатов для лифта</v>
      </c>
      <c r="B198" s="173"/>
      <c r="C198" s="173"/>
      <c r="D198" s="173"/>
      <c r="E198" s="173"/>
      <c r="F198" s="173"/>
      <c r="G198" s="173"/>
      <c r="H198" s="50">
        <f>ПТО!G16</f>
        <v>120000</v>
      </c>
      <c r="I198" s="53" t="s">
        <v>74</v>
      </c>
    </row>
    <row r="199" spans="1:10" ht="18.75" hidden="1" customHeight="1">
      <c r="A199" s="173">
        <f>ПТО!F17</f>
        <v>0</v>
      </c>
      <c r="B199" s="173"/>
      <c r="C199" s="173"/>
      <c r="D199" s="173"/>
      <c r="E199" s="173"/>
      <c r="F199" s="173"/>
      <c r="G199" s="173"/>
      <c r="H199" s="50">
        <f>ПТО!G17</f>
        <v>0</v>
      </c>
      <c r="I199" s="51" t="s">
        <v>74</v>
      </c>
    </row>
    <row r="200" spans="1:10" hidden="1">
      <c r="A200" s="173">
        <f>ПТО!F18</f>
        <v>0</v>
      </c>
      <c r="B200" s="173"/>
      <c r="C200" s="173"/>
      <c r="D200" s="173"/>
      <c r="E200" s="173"/>
      <c r="F200" s="173"/>
      <c r="G200" s="173"/>
      <c r="H200" s="50">
        <f>ПТО!G18</f>
        <v>0</v>
      </c>
      <c r="I200" s="51" t="s">
        <v>74</v>
      </c>
    </row>
    <row r="201" spans="1:10" hidden="1">
      <c r="A201" s="173">
        <f>ПТО!F19</f>
        <v>0</v>
      </c>
      <c r="B201" s="173"/>
      <c r="C201" s="173"/>
      <c r="D201" s="173"/>
      <c r="E201" s="173"/>
      <c r="F201" s="173"/>
      <c r="G201" s="173"/>
      <c r="H201" s="50">
        <f>ПТО!G19</f>
        <v>0</v>
      </c>
      <c r="I201" s="51" t="s">
        <v>74</v>
      </c>
    </row>
    <row r="202" spans="1:10" hidden="1">
      <c r="A202" s="173">
        <f>ПТО!F20</f>
        <v>0</v>
      </c>
      <c r="B202" s="173"/>
      <c r="C202" s="173"/>
      <c r="D202" s="173"/>
      <c r="E202" s="173"/>
      <c r="F202" s="173"/>
      <c r="G202" s="173"/>
      <c r="H202" s="50">
        <f>ПТО!G20</f>
        <v>0</v>
      </c>
      <c r="I202" s="51" t="s">
        <v>74</v>
      </c>
    </row>
    <row r="203" spans="1:10" hidden="1">
      <c r="A203" s="173">
        <f>ПТО!F21</f>
        <v>0</v>
      </c>
      <c r="B203" s="173"/>
      <c r="C203" s="173"/>
      <c r="D203" s="173"/>
      <c r="E203" s="173"/>
      <c r="F203" s="173"/>
      <c r="G203" s="173"/>
      <c r="H203" s="50">
        <f>ПТО!G21</f>
        <v>0</v>
      </c>
      <c r="I203" s="51" t="s">
        <v>74</v>
      </c>
    </row>
    <row r="204" spans="1:10" hidden="1">
      <c r="A204" s="173">
        <f>ПТО!F22</f>
        <v>0</v>
      </c>
      <c r="B204" s="173"/>
      <c r="C204" s="173"/>
      <c r="D204" s="173"/>
      <c r="E204" s="173"/>
      <c r="F204" s="173"/>
      <c r="G204" s="173"/>
      <c r="H204" s="50">
        <f>ПТО!G22</f>
        <v>0</v>
      </c>
      <c r="I204" s="51" t="s">
        <v>74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50">
        <f>ПТО!G23</f>
        <v>0</v>
      </c>
      <c r="I205" s="51" t="s">
        <v>74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50">
        <f>ПТО!G24</f>
        <v>0</v>
      </c>
      <c r="I206" s="51" t="s">
        <v>74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50">
        <f>ПТО!G25</f>
        <v>0</v>
      </c>
      <c r="I207" s="51" t="s">
        <v>74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50">
        <f>ПТО!G26</f>
        <v>0</v>
      </c>
      <c r="I208" s="51" t="s">
        <v>74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50">
        <f>ПТО!G27</f>
        <v>0</v>
      </c>
      <c r="I209" s="51" t="s">
        <v>74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50">
        <f>ПТО!G28</f>
        <v>0</v>
      </c>
      <c r="I210" s="51" t="s">
        <v>74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50">
        <f>ПТО!G29</f>
        <v>0</v>
      </c>
      <c r="I211" s="51" t="s">
        <v>74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50">
        <f>ПТО!G30</f>
        <v>0</v>
      </c>
      <c r="I212" s="51" t="s">
        <v>74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160300</v>
      </c>
      <c r="I214" s="57" t="s">
        <v>77</v>
      </c>
    </row>
  </sheetData>
  <sheetProtection algorithmName="SHA-512" hashValue="Pl+6ql1wAUh43zbi5sZWKeKrAnIyA6/upNuh6tpbb6s3m0SSLPn6rUYEqDJj/MpQ+N6UPJKUM2H/JX041WnigQ==" saltValue="7L+4lSYNAc/jiY6w4RLcv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2" t="s">
        <v>184</v>
      </c>
      <c r="G1" s="103">
        <f>-106553.73</f>
        <v>-106553.73</v>
      </c>
    </row>
    <row r="2" spans="1:12" ht="18.75" customHeight="1">
      <c r="A2" s="138" t="s">
        <v>72</v>
      </c>
      <c r="B2" s="139" t="s">
        <v>179</v>
      </c>
      <c r="C2" s="139">
        <v>1</v>
      </c>
      <c r="D2" s="140">
        <v>4100</v>
      </c>
      <c r="E2" s="141" t="s">
        <v>206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189</v>
      </c>
      <c r="B3" s="132" t="s">
        <v>190</v>
      </c>
      <c r="C3" s="125">
        <v>1</v>
      </c>
      <c r="D3" s="126">
        <v>1073</v>
      </c>
      <c r="E3" s="121" t="s">
        <v>195</v>
      </c>
      <c r="F3" s="30"/>
      <c r="G3" s="30"/>
      <c r="L3" s="33" t="str">
        <f t="shared" si="0"/>
        <v>ТР</v>
      </c>
    </row>
    <row r="4" spans="1:12" ht="18.75" customHeight="1">
      <c r="A4" s="127" t="s">
        <v>191</v>
      </c>
      <c r="B4" s="128" t="s">
        <v>190</v>
      </c>
      <c r="C4" s="129">
        <v>1</v>
      </c>
      <c r="D4" s="130">
        <v>4316</v>
      </c>
      <c r="E4" s="121" t="s">
        <v>192</v>
      </c>
      <c r="F4" s="30"/>
      <c r="G4" s="30"/>
      <c r="L4" s="33" t="str">
        <f t="shared" si="0"/>
        <v>ТР</v>
      </c>
    </row>
    <row r="5" spans="1:12" ht="18.75" customHeight="1">
      <c r="A5" s="127" t="s">
        <v>193</v>
      </c>
      <c r="B5" s="128" t="s">
        <v>190</v>
      </c>
      <c r="C5" s="129">
        <v>1</v>
      </c>
      <c r="D5" s="130">
        <v>1650</v>
      </c>
      <c r="E5" s="121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3" t="s">
        <v>197</v>
      </c>
      <c r="B6" s="134" t="s">
        <v>190</v>
      </c>
      <c r="C6" s="120">
        <v>1</v>
      </c>
      <c r="D6" s="47">
        <v>27225</v>
      </c>
      <c r="E6" s="133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44"/>
      <c r="B7" s="145"/>
      <c r="C7" s="120"/>
      <c r="D7" s="47"/>
      <c r="E7" s="121"/>
      <c r="F7" s="46"/>
      <c r="G7" s="46"/>
      <c r="K7" s="47"/>
      <c r="L7" s="33">
        <f t="shared" si="0"/>
        <v>0</v>
      </c>
    </row>
    <row r="8" spans="1:12" ht="18.75" customHeight="1">
      <c r="A8" s="123"/>
      <c r="B8" s="124"/>
      <c r="C8" s="43"/>
      <c r="D8" s="44"/>
      <c r="E8" s="123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185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75</v>
      </c>
      <c r="G13" s="115">
        <v>4100</v>
      </c>
      <c r="L13" s="33">
        <f t="shared" si="0"/>
        <v>0</v>
      </c>
    </row>
    <row r="14" spans="1:12" ht="31.5">
      <c r="A14" s="30"/>
      <c r="F14" s="114" t="s">
        <v>181</v>
      </c>
      <c r="G14" s="116">
        <v>30000</v>
      </c>
      <c r="L14" s="33">
        <f t="shared" si="0"/>
        <v>0</v>
      </c>
    </row>
    <row r="15" spans="1:12" ht="31.5">
      <c r="A15" s="30"/>
      <c r="F15" s="122" t="s">
        <v>182</v>
      </c>
      <c r="G15" s="115">
        <v>5000</v>
      </c>
      <c r="L15" s="33">
        <f t="shared" si="0"/>
        <v>0</v>
      </c>
    </row>
    <row r="16" spans="1:12" ht="15.75">
      <c r="A16" s="30"/>
      <c r="F16" s="142" t="s">
        <v>207</v>
      </c>
      <c r="G16" s="143">
        <v>120000</v>
      </c>
      <c r="L16" s="33">
        <f t="shared" si="0"/>
        <v>0</v>
      </c>
    </row>
    <row r="17" spans="1:12">
      <c r="A17" s="30"/>
      <c r="F17" s="10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146600.76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146600.76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53867.28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53867.28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42957.48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42957.48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40911.839999999997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40911.839999999997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13296.36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13296.36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76027.8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76027.8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136031.88</v>
      </c>
      <c r="C46" s="38" t="s">
        <v>67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136031.88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198</v>
      </c>
      <c r="B47" s="135">
        <f>(E47*G53*F55*6+E47*G53*G55*6)+(F47*G59*F61*6+F47*G59*G61*6)+(F47*G63*F65*6+F47*G63*G65*6)</f>
        <v>36871.231049999995</v>
      </c>
      <c r="C47" s="136" t="s">
        <v>67</v>
      </c>
      <c r="D47" s="49">
        <v>12</v>
      </c>
      <c r="E47" s="135">
        <v>550.79999999999995</v>
      </c>
      <c r="F47" s="135">
        <v>352.3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36871.231049999995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7" t="s">
        <v>199</v>
      </c>
      <c r="F52" s="137" t="s">
        <v>200</v>
      </c>
      <c r="G52" s="137" t="s">
        <v>201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7">
        <v>35.896999999999998</v>
      </c>
      <c r="F53" s="135">
        <v>2860.7</v>
      </c>
      <c r="G53" s="137">
        <v>3.48</v>
      </c>
      <c r="H53" s="137">
        <f>G53*E47/F53</f>
        <v>0.6700401999510609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7"/>
      <c r="F54" s="137" t="s">
        <v>202</v>
      </c>
      <c r="G54" s="137" t="s">
        <v>203</v>
      </c>
      <c r="H54" s="137">
        <f>H53*G56</f>
        <v>57.355441115810812</v>
      </c>
    </row>
    <row r="55" spans="5:16">
      <c r="E55" s="137"/>
      <c r="F55" s="137">
        <v>1.17</v>
      </c>
      <c r="G55" s="137">
        <v>1.23</v>
      </c>
      <c r="H55" s="137"/>
    </row>
    <row r="56" spans="5:16">
      <c r="E56" s="137"/>
      <c r="F56" s="137"/>
      <c r="G56" s="137">
        <v>85.6</v>
      </c>
      <c r="H56" s="137"/>
    </row>
    <row r="57" spans="5:16">
      <c r="E57" s="137"/>
      <c r="F57" s="137"/>
      <c r="G57" s="137"/>
      <c r="H57" s="137"/>
    </row>
    <row r="58" spans="5:16">
      <c r="E58" s="137" t="s">
        <v>204</v>
      </c>
      <c r="F58" s="137"/>
      <c r="G58" s="137"/>
      <c r="H58" s="137"/>
    </row>
    <row r="59" spans="5:16">
      <c r="E59" s="137">
        <v>0.59599999999999997</v>
      </c>
      <c r="F59" s="135">
        <v>2860.7</v>
      </c>
      <c r="G59" s="137">
        <v>7.4999999999999997E-2</v>
      </c>
      <c r="H59" s="137">
        <f>G59*F47</f>
        <v>26.422499999999999</v>
      </c>
    </row>
    <row r="60" spans="5:16">
      <c r="E60" s="137"/>
      <c r="F60" s="137" t="s">
        <v>202</v>
      </c>
      <c r="G60" s="137" t="s">
        <v>203</v>
      </c>
      <c r="H60" s="137">
        <f>H59/F59</f>
        <v>9.236375712238263E-3</v>
      </c>
    </row>
    <row r="61" spans="5:16">
      <c r="E61" s="137"/>
      <c r="F61" s="137">
        <v>12.94</v>
      </c>
      <c r="G61" s="137">
        <v>13.45</v>
      </c>
      <c r="H61" s="137">
        <f>H60*G56</f>
        <v>0.7906337609675953</v>
      </c>
    </row>
    <row r="62" spans="5:16">
      <c r="E62" s="137" t="s">
        <v>205</v>
      </c>
      <c r="F62" s="137"/>
      <c r="G62" s="137"/>
      <c r="H62" s="137"/>
    </row>
    <row r="63" spans="5:16">
      <c r="E63" s="137">
        <v>0.59599999999999997</v>
      </c>
      <c r="F63" s="135">
        <v>2860.7</v>
      </c>
      <c r="G63" s="137">
        <v>7.4999999999999997E-2</v>
      </c>
      <c r="H63" s="137">
        <f>G63*F47</f>
        <v>26.422499999999999</v>
      </c>
    </row>
    <row r="64" spans="5:16">
      <c r="E64" s="137"/>
      <c r="F64" s="137" t="s">
        <v>202</v>
      </c>
      <c r="G64" s="137" t="s">
        <v>203</v>
      </c>
      <c r="H64" s="137">
        <f>H63/F63</f>
        <v>9.236375712238263E-3</v>
      </c>
    </row>
    <row r="65" spans="4:13" ht="18.75" customHeight="1">
      <c r="E65" s="137"/>
      <c r="F65" s="137">
        <v>15.73</v>
      </c>
      <c r="G65" s="137">
        <v>16.350000000000001</v>
      </c>
      <c r="H65" s="137">
        <f>H64*G56</f>
        <v>0.7906337609675953</v>
      </c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180</v>
      </c>
      <c r="F1" s="61">
        <v>2841.1</v>
      </c>
    </row>
    <row r="2" spans="1:10" ht="15.75" customHeight="1">
      <c r="A2" s="71" t="s">
        <v>82</v>
      </c>
      <c r="B2" s="73" t="s">
        <v>1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3</v>
      </c>
      <c r="C4" s="84">
        <v>174507.68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4</v>
      </c>
      <c r="C5" s="80">
        <f>SUM(C6:C8)</f>
        <v>639663.32999999996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5</v>
      </c>
      <c r="C6" s="84">
        <v>486243.93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6</v>
      </c>
      <c r="C7" s="84">
        <f>F1*4.5*12</f>
        <v>153419.4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7</v>
      </c>
      <c r="C8" s="84">
        <v>0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8</v>
      </c>
      <c r="C9" s="80">
        <f>SUM(C10:C14)</f>
        <v>682248.34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9</v>
      </c>
      <c r="C10" s="84">
        <v>682248.34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14</v>
      </c>
      <c r="C15" s="80">
        <f>C9</f>
        <v>682248.34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17</v>
      </c>
      <c r="C18" s="80">
        <f>IF(C16&gt;0,0,IF(C4&gt;0,C4+C5-C9,C5-C2-C9))</f>
        <v>131922.67000000004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100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101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102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162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104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105</v>
      </c>
      <c r="B27" s="76" t="s">
        <v>3</v>
      </c>
      <c r="C27" s="87">
        <v>142135.13</v>
      </c>
      <c r="D27" s="82" t="s">
        <v>59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106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107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108</v>
      </c>
      <c r="B30" s="76" t="s">
        <v>17</v>
      </c>
      <c r="C30" s="87">
        <v>79794.210000000006</v>
      </c>
      <c r="D30" s="82" t="s">
        <v>65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109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110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111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112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163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152874.85</v>
      </c>
      <c r="F37" s="95" t="s">
        <v>167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113</v>
      </c>
      <c r="B38" s="79" t="s">
        <v>36</v>
      </c>
      <c r="C38" s="91">
        <v>127395.71</v>
      </c>
      <c r="D38" s="95" t="s">
        <v>165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114</v>
      </c>
      <c r="B39" s="79" t="s">
        <v>37</v>
      </c>
      <c r="C39" s="92">
        <v>171985.68</v>
      </c>
      <c r="D39" s="95" t="s">
        <v>166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115</v>
      </c>
      <c r="B40" s="79" t="s">
        <v>38</v>
      </c>
      <c r="C40" s="94">
        <f>IF(E37-C39&lt;0,0,E37-C39)</f>
        <v>0</v>
      </c>
      <c r="D40" s="81" t="s">
        <v>58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116</v>
      </c>
      <c r="B41" s="79" t="s">
        <v>39</v>
      </c>
      <c r="C41" s="94">
        <f>E37</f>
        <v>152874.85</v>
      </c>
      <c r="D41" s="81" t="s">
        <v>58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117</v>
      </c>
      <c r="B42" s="79" t="s">
        <v>40</v>
      </c>
      <c r="C42" s="94">
        <f>E37</f>
        <v>152874.85</v>
      </c>
      <c r="D42" s="81" t="s">
        <v>58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118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119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121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49753.53</v>
      </c>
      <c r="F45" s="95" t="s">
        <v>167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122</v>
      </c>
      <c r="B46" s="79" t="s">
        <v>36</v>
      </c>
      <c r="C46" s="91">
        <v>3769.21</v>
      </c>
      <c r="D46" s="95" t="s">
        <v>168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123</v>
      </c>
      <c r="B47" s="79" t="s">
        <v>37</v>
      </c>
      <c r="C47" s="92">
        <v>58976.91</v>
      </c>
      <c r="D47" s="95" t="s">
        <v>166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124</v>
      </c>
      <c r="B48" s="79" t="s">
        <v>38</v>
      </c>
      <c r="C48" s="94">
        <f>IF(E45-C47&lt;0,0,E45-C47)</f>
        <v>0</v>
      </c>
      <c r="D48" s="81" t="s">
        <v>58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125</v>
      </c>
      <c r="B49" s="79" t="s">
        <v>39</v>
      </c>
      <c r="C49" s="94">
        <f>E45</f>
        <v>49753.53</v>
      </c>
      <c r="D49" s="81" t="s">
        <v>58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126</v>
      </c>
      <c r="B50" s="79" t="s">
        <v>40</v>
      </c>
      <c r="C50" s="94">
        <f>E45</f>
        <v>49753.53</v>
      </c>
      <c r="D50" s="81" t="s">
        <v>58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127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128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129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95880.45</v>
      </c>
      <c r="F53" s="95" t="s">
        <v>167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130</v>
      </c>
      <c r="B54" s="76" t="s">
        <v>36</v>
      </c>
      <c r="C54" s="100">
        <v>5977.58</v>
      </c>
      <c r="D54" s="95" t="s">
        <v>168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131</v>
      </c>
      <c r="B55" s="76" t="s">
        <v>37</v>
      </c>
      <c r="C55" s="87">
        <v>114146.96</v>
      </c>
      <c r="D55" s="95" t="s">
        <v>166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132</v>
      </c>
      <c r="B56" s="76" t="s">
        <v>38</v>
      </c>
      <c r="C56" s="94">
        <f>IF(E53-C55&lt;0,0,E53-C55)</f>
        <v>0</v>
      </c>
      <c r="D56" s="81" t="s">
        <v>58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133</v>
      </c>
      <c r="B57" s="76" t="s">
        <v>39</v>
      </c>
      <c r="C57" s="94">
        <f>E53</f>
        <v>95880.45</v>
      </c>
      <c r="D57" s="81" t="s">
        <v>58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134</v>
      </c>
      <c r="B58" s="76" t="s">
        <v>40</v>
      </c>
      <c r="C58" s="94">
        <f>E53</f>
        <v>95880.45</v>
      </c>
      <c r="D58" s="81" t="s">
        <v>58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135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136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54</v>
      </c>
      <c r="E61" s="96">
        <v>106887.53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36</v>
      </c>
      <c r="C62" s="100">
        <v>198.73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37</v>
      </c>
      <c r="C63" s="87">
        <v>115898.05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38</v>
      </c>
      <c r="C64" s="94">
        <f>IF(E61-C63&lt;0,0,E61-C63)</f>
        <v>0</v>
      </c>
      <c r="D64" s="81" t="s">
        <v>58</v>
      </c>
      <c r="E64" s="70"/>
      <c r="G64" s="65"/>
      <c r="H64" s="65"/>
    </row>
    <row r="65" spans="1:8" ht="15.75" customHeight="1">
      <c r="A65" s="74" t="s">
        <v>141</v>
      </c>
      <c r="B65" s="76" t="s">
        <v>39</v>
      </c>
      <c r="C65" s="94">
        <f>E61</f>
        <v>106887.53</v>
      </c>
      <c r="D65" s="81" t="s">
        <v>58</v>
      </c>
      <c r="E65" s="70"/>
      <c r="G65" s="65"/>
      <c r="H65" s="65"/>
    </row>
    <row r="66" spans="1:8" ht="15.75" customHeight="1">
      <c r="A66" s="74" t="s">
        <v>142</v>
      </c>
      <c r="B66" s="76" t="s">
        <v>40</v>
      </c>
      <c r="C66" s="94">
        <f>E61</f>
        <v>106887.53</v>
      </c>
      <c r="D66" s="81" t="s">
        <v>58</v>
      </c>
      <c r="E66" s="70"/>
      <c r="G66" s="65"/>
      <c r="H66" s="65"/>
    </row>
    <row r="67" spans="1:8" ht="15.75" customHeight="1">
      <c r="A67" s="74" t="s">
        <v>143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144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 t="str">
        <f>IF(E69&gt;0,"Предоставляется",0)</f>
        <v>Предоставляется</v>
      </c>
      <c r="D69" s="97" t="s">
        <v>54</v>
      </c>
      <c r="E69" s="96">
        <v>28237.26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36</v>
      </c>
      <c r="C70" s="100">
        <v>2139.19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37</v>
      </c>
      <c r="C71" s="87">
        <v>34967.019999999997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38</v>
      </c>
      <c r="C72" s="94">
        <f>IF(E69-C71&lt;0,0,E69-C71)</f>
        <v>0</v>
      </c>
      <c r="D72" s="81" t="s">
        <v>58</v>
      </c>
      <c r="E72" s="70"/>
      <c r="G72" s="65"/>
      <c r="H72" s="65"/>
    </row>
    <row r="73" spans="1:8" ht="15.75" customHeight="1">
      <c r="A73" s="74" t="s">
        <v>149</v>
      </c>
      <c r="B73" s="76" t="s">
        <v>39</v>
      </c>
      <c r="C73" s="94">
        <f>E69</f>
        <v>28237.26</v>
      </c>
      <c r="D73" s="81" t="s">
        <v>58</v>
      </c>
      <c r="E73" s="70"/>
      <c r="G73" s="65"/>
      <c r="H73" s="65"/>
    </row>
    <row r="74" spans="1:8" ht="15.75" customHeight="1">
      <c r="A74" s="74" t="s">
        <v>150</v>
      </c>
      <c r="B74" s="76" t="s">
        <v>40</v>
      </c>
      <c r="C74" s="94">
        <f>E69</f>
        <v>28237.26</v>
      </c>
      <c r="D74" s="81" t="s">
        <v>58</v>
      </c>
      <c r="E74" s="70"/>
      <c r="G74" s="65"/>
      <c r="H74" s="65"/>
    </row>
    <row r="75" spans="1:8" ht="15.75" customHeight="1">
      <c r="A75" s="74" t="s">
        <v>151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152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36</v>
      </c>
      <c r="C78" s="100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37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157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158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159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160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44</v>
      </c>
      <c r="C2" s="107">
        <v>0</v>
      </c>
      <c r="D2" s="109" t="s">
        <v>66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45</v>
      </c>
      <c r="C3" s="107">
        <v>2</v>
      </c>
      <c r="D3" s="109" t="s">
        <v>66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172</v>
      </c>
      <c r="B4" s="60" t="s">
        <v>46</v>
      </c>
      <c r="C4" s="108">
        <v>94888.58</v>
      </c>
      <c r="D4" s="109" t="s">
        <v>66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2022-03-28T02:56:41Z</dcterms:modified>
</cp:coreProperties>
</file>