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F64" i="2" l="1"/>
  <c r="F60" i="2"/>
  <c r="H64" i="2"/>
  <c r="H65" i="2" s="1"/>
  <c r="H66" i="2" s="1"/>
  <c r="H60" i="2"/>
  <c r="H61" i="2" s="1"/>
  <c r="H62" i="2" s="1"/>
  <c r="H54" i="2"/>
  <c r="H55" i="2" s="1"/>
  <c r="B48" i="2"/>
  <c r="D9" i="2" l="1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5" i="1" s="1"/>
  <c r="A165" i="1" s="1"/>
  <c r="I165" i="1" s="1"/>
  <c r="O28" i="1"/>
  <c r="N160" i="1" l="1"/>
  <c r="A160" i="1" s="1"/>
  <c r="N159" i="1"/>
  <c r="A159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F165" i="1"/>
  <c r="H165" i="1"/>
  <c r="E155" i="1"/>
  <c r="F182" i="1" l="1"/>
  <c r="F184" i="1"/>
  <c r="H170" i="1"/>
  <c r="H180" i="1"/>
  <c r="H185" i="1"/>
  <c r="H177" i="1"/>
  <c r="F186" i="1"/>
  <c r="H178" i="1"/>
  <c r="F175" i="1"/>
  <c r="F167" i="1"/>
  <c r="F173" i="1"/>
  <c r="F185" i="1"/>
  <c r="F178" i="1"/>
  <c r="H175" i="1"/>
  <c r="F166" i="1"/>
  <c r="H167" i="1"/>
  <c r="H182" i="1"/>
  <c r="F170" i="1"/>
  <c r="H168" i="1"/>
  <c r="F181" i="1"/>
  <c r="F177" i="1"/>
  <c r="F176" i="1"/>
  <c r="F164" i="1"/>
  <c r="H181" i="1"/>
  <c r="F172" i="1"/>
  <c r="F171" i="1"/>
  <c r="H171" i="1"/>
  <c r="H166" i="1"/>
  <c r="H173" i="1"/>
  <c r="H172" i="1"/>
  <c r="F187" i="1"/>
  <c r="H179" i="1"/>
  <c r="H169" i="1"/>
  <c r="F169" i="1"/>
  <c r="F168" i="1"/>
  <c r="F180" i="1"/>
  <c r="H176" i="1"/>
  <c r="H174" i="1"/>
  <c r="H187" i="1"/>
  <c r="F174" i="1"/>
  <c r="F183" i="1"/>
  <c r="H183" i="1"/>
  <c r="H186" i="1"/>
  <c r="F179" i="1"/>
  <c r="H164" i="1"/>
  <c r="H184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<sst xmlns="http://schemas.openxmlformats.org/spreadsheetml/2006/main" count="570" uniqueCount="212">
  <si>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</si>
  <si>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</si>
  <si>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</si>
  <si>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</si>
  <si>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</si>
  <si>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</si>
  <si>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</si>
  <si>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</si>
  <si>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</si>
  <si>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</si>
  <si>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</si>
  <si>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</si>
  <si>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</si>
  <si>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</si>
  <si>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</si>
  <si>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</si>
  <si>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</si>
  <si>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</si>
  <si>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</si>
  <si>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</si>
  <si>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</si>
  <si>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</si>
  <si>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</si>
  <si>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</si>
  <si>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</si>
  <si>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</si>
  <si>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</si>
  <si>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</si>
  <si>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</si>
  <si>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</si>
  <si>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</si>
  <si>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</si>
  <si>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</si>
  <si>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</si>
  <si>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</si>
  <si>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</si>
  <si>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</si>
  <si>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</si>
  <si>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</si>
  <si>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</si>
  <si>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</si>
  <si>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</si>
  <si>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</si>
  <si>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</si>
  <si>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</si>
  <si>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</si>
  <si>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</si>
  <si>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</si>
  <si>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</si>
  <si>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</si>
  <si>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</si>
  <si>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</si>
  <si>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</si>
  <si>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</si>
  <si>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</si>
  <si>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</si>
  <si>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</si>
  <si>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</si>
  <si>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</si>
  <si>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</si>
  <si>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</si>
  <si>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</si>
  <si>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</si>
  <si>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</si>
  <si>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</si>
  <si>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</si>
  <si>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</si>
  <si>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</si>
  <si>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</si>
  <si>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</si>
  <si>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</si>
  <si>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</si>
  <si>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</si>
  <si>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</si>
  <si>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</si>
  <si>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</si>
  <si>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</si>
  <si>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</si>
  <si>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</si>
  <si>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</si>
  <si>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</si>
  <si>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</si>
  <si>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</si>
  <si>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</si>
  <si>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</si>
  <si>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</si>
  <si>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</si>
  <si>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</si>
  <si>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</si>
  <si>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</si>
  <si>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</si>
  <si>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</si>
  <si>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</si>
  <si>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</si>
  <si>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</si>
  <si>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</si>
  <si>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</si>
  <si>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</si>
  <si>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</si>
  <si>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</si>
  <si>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</si>
  <si>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</si>
  <si>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</si>
  <si>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</si>
  <si>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</si>
  <si>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</si>
  <si>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</si>
  <si>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</si>
  <si>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</si>
  <si>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</si>
  <si>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</si>
  <si>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</si>
  <si>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</si>
  <si>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</si>
  <si>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</si>
  <si>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</si>
  <si>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</si>
  <si>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</si>
  <si>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</si>
  <si>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</si>
  <si>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</si>
  <si>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</si>
  <si>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</si>
  <si>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</si>
  <si>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</si>
  <si>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</si>
  <si>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</si>
  <si>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</si>
  <si>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</si>
  <si>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</si>
  <si>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</si>
  <si>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</si>
  <si>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</si>
  <si>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</si>
  <si>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</si>
  <si>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</si>
  <si>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</si>
  <si>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</si>
  <si>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</si>
  <si>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</si>
  <si>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</si>
  <si>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</si>
  <si>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</si>
  <si>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</si>
  <si>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</si>
  <si>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</si>
  <si>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</si>
  <si>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</si>
  <si>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</si>
  <si>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</si>
  <si>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</si>
  <si>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</si>
  <si>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</si>
  <si>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</si>
  <si>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</si>
  <si>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</si>
  <si>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</si>
  <si>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</si>
  <si>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</si>
  <si>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</si>
  <si>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</si>
  <si>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</si>
  <si>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</si>
  <si>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</si>
  <si>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</si>
  <si>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</si>
  <si>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</si>
  <si>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</si>
  <si>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</si>
  <si>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</si>
  <si>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</si>
  <si>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</si>
  <si>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</si>
  <si>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</si>
  <si>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140/2</t>
  </si>
  <si>
    <t>Работы по содержанию лифта (лифтов)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</si>
  <si>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</si>
  <si>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</si>
  <si>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Березовый, 140/2 в части текущего ремонта</t>
  </si>
  <si>
    <t>разово</t>
  </si>
  <si>
    <t>Приобретение и установка ОДПУ на подпитку ГВС.</t>
  </si>
  <si>
    <t>Охрана теплового пункта</t>
  </si>
  <si>
    <t>лифты и охрана в содержании жилья 01.03.2020</t>
  </si>
  <si>
    <t xml:space="preserve">  - установка газонного ограждения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</si>
  <si>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</si>
  <si>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</si>
  <si>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</si>
  <si>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</si>
  <si>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</si>
  <si>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Монтаж дополнительных камер системы видеонаблюдения (8 шт.).</t>
  </si>
  <si>
    <t>Изготовление и монтаж таблички класса энергоэффиктивности.</t>
  </si>
  <si>
    <t>АВР 2/21 от 13.05.2021, счет №14 от 21.01.2021</t>
  </si>
  <si>
    <t>Благоустройство придомовой территории (приобретение песка).</t>
  </si>
  <si>
    <t>АВР 3/21 от 13.05.2021, счет №92 от 01.12.2020</t>
  </si>
  <si>
    <t>АВР 4/21 от 10.06.2021, Решение</t>
  </si>
  <si>
    <t>АВР 1/21 от 10.02.2021, Счет №290 30.10.2020</t>
  </si>
  <si>
    <t>Аварийный ремонт теплообменника ГВС.</t>
  </si>
  <si>
    <t>Приобретение и установка ОДПУ ХВС.</t>
  </si>
  <si>
    <t>Ремонт подъезда (1 этаж).</t>
  </si>
  <si>
    <t>АВР 5/21 от 06.09.2021, Решение, счет №430 от 15.07.2021, №547 от 25.08.2021</t>
  </si>
  <si>
    <t>АВР 6/21 от 16.09.2021, счет №147 от 16.06.2021</t>
  </si>
  <si>
    <t>АВР 8/21 от 29.11.2021, Решение, счет №1-140/2 от 13.09.2021</t>
  </si>
  <si>
    <t>Приобретение и установка информационного стенда на детскую площадку.</t>
  </si>
  <si>
    <t>АВР 7/21 от 13.12.2021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</si>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</sst>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28" fillId="0" borderId="0"/>
    <xf numFmtId="0" fontId="28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3" fillId="0" borderId="0"/>
    <xf numFmtId="0" fontId="1" fillId="0" borderId="0"/>
  </cellStyleXfs>
  <cellXfs count="179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0" fontId="0" fillId="0" borderId="0" xfId="0" applyFill="1" applyBorder="1"/>
    <xf numFmtId="0" fontId="9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11" applyFont="1" applyFill="1" applyBorder="1" applyAlignment="1"/>
    <xf numFmtId="0" fontId="7" fillId="0" borderId="0" xfId="14" applyFont="1" applyFill="1" applyBorder="1" applyAlignment="1">
      <alignment horizontal="center"/>
    </xf>
    <xf numFmtId="0" fontId="7" fillId="0" borderId="0" xfId="14" applyFill="1" applyBorder="1" applyAlignment="1">
      <alignment horizontal="center"/>
    </xf>
    <xf numFmtId="4" fontId="27" fillId="0" borderId="0" xfId="14" applyNumberFormat="1" applyFont="1" applyFill="1" applyBorder="1" applyAlignment="1"/>
    <xf numFmtId="0" fontId="27" fillId="0" borderId="0" xfId="14" applyFont="1" applyFill="1" applyBorder="1" applyAlignment="1"/>
    <xf numFmtId="0" fontId="10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14" applyFont="1" applyFill="1" applyBorder="1" applyAlignment="1">
      <alignment horizontal="center"/>
    </xf>
    <xf numFmtId="0" fontId="5" fillId="0" borderId="0" xfId="15" applyFont="1" applyFill="1" applyBorder="1" applyAlignment="1"/>
    <xf numFmtId="0" fontId="5" fillId="0" borderId="0" xfId="15" applyFont="1" applyFill="1" applyBorder="1" applyAlignment="1">
      <alignment horizontal="center"/>
    </xf>
    <xf numFmtId="1" fontId="5" fillId="0" borderId="0" xfId="15" applyNumberFormat="1" applyFill="1" applyBorder="1" applyAlignment="1">
      <alignment horizontal="center"/>
    </xf>
    <xf numFmtId="4" fontId="5" fillId="0" borderId="0" xfId="15" applyNumberFormat="1" applyFill="1" applyBorder="1" applyAlignment="1"/>
    <xf numFmtId="0" fontId="4" fillId="0" borderId="0" xfId="2" applyFont="1" applyFill="1" applyBorder="1" applyAlignment="1"/>
    <xf numFmtId="0" fontId="2" fillId="0" borderId="0" xfId="5" applyFont="1" applyFill="1" applyBorder="1"/>
    <xf numFmtId="0" fontId="3" fillId="0" borderId="0" xfId="16" applyFont="1" applyFill="1" applyBorder="1" applyAlignment="1"/>
    <xf numFmtId="0" fontId="0" fillId="0" borderId="0" xfId="0" applyFill="1" applyBorder="1" applyAlignment="1">
      <alignment horizontal="center" vertical="center"/>
    </xf>
    <xf numFmtId="4" fontId="7" fillId="0" borderId="0" xfId="14" applyNumberFormat="1" applyFill="1" applyBorder="1" applyAlignment="1"/>
    <xf numFmtId="4" fontId="29" fillId="3" borderId="0" xfId="17" applyNumberFormat="1" applyFont="1" applyFill="1" applyBorder="1" applyAlignment="1">
      <alignment horizontal="left" vertical="center" wrapText="1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9"/>
    <cellStyle name="Обычный 2 5" xfId="17"/>
    <cellStyle name="Обычный 3" xfId="2"/>
    <cellStyle name="Обычный 3 2" xfId="7"/>
    <cellStyle name="Обычный 3 3" xfId="6"/>
    <cellStyle name="Обычный 3 4" xfId="10"/>
    <cellStyle name="Обычный 3 6" xfId="16"/>
    <cellStyle name="Обычный 4" xfId="4"/>
    <cellStyle name="Обычный 4 2" xfId="11"/>
    <cellStyle name="Обычный 4 3" xfId="14"/>
    <cellStyle name="Обычный 5" xfId="5"/>
    <cellStyle name="Обычный 5 2" xfId="12"/>
    <cellStyle name="Обычный 5 4" xfId="8"/>
    <cellStyle name="Обычный 5 4 2" xfId="13"/>
    <cellStyle name="Обычный 5 4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27" sqref="L27:L7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09"/>
      <c r="L8" s="166"/>
      <c r="M8" s="109"/>
      <c r="N8" s="109"/>
      <c r="O8" s="70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09"/>
      <c r="L9" s="166"/>
      <c r="M9" s="109"/>
      <c r="N9" s="109"/>
      <c r="O9" s="70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482337.49</v>
      </c>
      <c r="K10" s="109"/>
      <c r="L10" s="166"/>
      <c r="M10" s="109"/>
      <c r="N10" s="109"/>
      <c r="O10" s="70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1046882.44</v>
      </c>
      <c r="K11" s="109"/>
      <c r="L11" s="166"/>
      <c r="M11" s="109"/>
      <c r="N11" s="109"/>
      <c r="O11" s="70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628575.11</v>
      </c>
      <c r="K12" s="109"/>
      <c r="L12" s="166"/>
      <c r="M12" s="109"/>
      <c r="N12" s="109"/>
      <c r="O12" s="70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228444</v>
      </c>
      <c r="K13" s="109"/>
      <c r="L13" s="166"/>
      <c r="M13" s="109"/>
      <c r="N13" s="109"/>
      <c r="O13" s="70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189863.33</v>
      </c>
      <c r="K14" s="109"/>
      <c r="L14" s="166"/>
      <c r="M14" s="109"/>
      <c r="N14" s="109"/>
      <c r="O14" s="70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1105355.32</v>
      </c>
      <c r="K15" s="109"/>
      <c r="L15" s="166"/>
      <c r="M15" s="109"/>
      <c r="N15" s="109"/>
      <c r="O15" s="70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1105355.32</v>
      </c>
      <c r="K16" s="109"/>
      <c r="L16" s="166"/>
      <c r="M16" s="109"/>
      <c r="N16" s="109"/>
      <c r="O16" s="70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09"/>
      <c r="L17" s="166"/>
      <c r="M17" s="109"/>
      <c r="N17" s="109"/>
      <c r="O17" s="70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09"/>
      <c r="L18" s="166"/>
      <c r="M18" s="109"/>
      <c r="N18" s="109"/>
      <c r="O18" s="70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09"/>
      <c r="L19" s="166"/>
      <c r="M19" s="109"/>
      <c r="N19" s="109"/>
      <c r="O19" s="70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09"/>
      <c r="L20" s="166"/>
      <c r="M20" s="109"/>
      <c r="N20" s="109"/>
      <c r="O20" s="70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1105355.32</v>
      </c>
      <c r="K21" s="109"/>
      <c r="L21" s="166"/>
      <c r="M21" s="109"/>
      <c r="N21" s="109"/>
      <c r="O21" s="70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09"/>
      <c r="L22" s="166"/>
      <c r="M22" s="109"/>
      <c r="N22" s="109"/>
      <c r="O22" s="70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09"/>
      <c r="L23" s="166"/>
      <c r="M23" s="109"/>
      <c r="N23" s="109"/>
      <c r="O23" s="70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423864.60999999987</v>
      </c>
      <c r="K24" s="109"/>
      <c r="L24" s="166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6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271848.36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09"/>
      <c r="L28" s="16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Работы по содержанию лифта (лифтов)</v>
      </c>
      <c r="B29" s="150"/>
      <c r="C29" s="150"/>
      <c r="D29" s="150"/>
      <c r="E29" s="150"/>
      <c r="F29" s="155">
        <f>VLOOKUP(A29,ПТО!$A$39:$D$53,2,FALSE)</f>
        <v>73102.080000000002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09"/>
      <c r="L29" s="16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64878.12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09"/>
      <c r="L30" s="16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54826.559999999998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09"/>
      <c r="L31" s="16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09"/>
      <c r="L32" s="16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21930.6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09"/>
      <c r="L33" s="16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112394.4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09"/>
      <c r="L34" s="16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0">
        <f>ПТО!A46</f>
        <v>0</v>
      </c>
      <c r="B35" s="150"/>
      <c r="C35" s="150"/>
      <c r="D35" s="150"/>
      <c r="E35" s="150"/>
      <c r="F35" s="155" t="e">
        <f>VLOOKUP(A35,ПТО!$A$39:$D$53,2,FALSE)</f>
        <v>#N/A</v>
      </c>
      <c r="G35" s="155"/>
      <c r="H35" s="42" t="e">
        <f>VLOOKUP(A35,ПТО!$A$39:$D$53,3,FALSE)</f>
        <v>#N/A</v>
      </c>
      <c r="I35" s="151" t="e">
        <f>VLOOKUP(A35,ПТО!$A$39:$D$53,4,FALSE)</f>
        <v>#N/A</v>
      </c>
      <c r="J35" s="151"/>
      <c r="K35" s="109"/>
      <c r="L35" s="167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50" t="str">
        <f>ПТО!A47</f>
        <v>Охрана теплового пункта</v>
      </c>
      <c r="B36" s="150"/>
      <c r="C36" s="150"/>
      <c r="D36" s="150"/>
      <c r="E36" s="150"/>
      <c r="F36" s="155">
        <f>VLOOKUP(A36,ПТО!$A$39:$D$53,2,FALSE)</f>
        <v>3655.08</v>
      </c>
      <c r="G36" s="155"/>
      <c r="H36" s="42" t="str">
        <f>VLOOKUP(A36,ПТО!$A$39:$D$53,3,FALSE)</f>
        <v>Круглосуточно</v>
      </c>
      <c r="I36" s="151">
        <f>VLOOKUP(A36,ПТО!$A$39:$D$53,4,FALSE)</f>
        <v>12</v>
      </c>
      <c r="J36" s="151"/>
      <c r="K36" s="109"/>
      <c r="L36" s="167"/>
      <c r="M36" s="115"/>
      <c r="N36" s="109"/>
      <c r="O36" s="23" t="str">
        <f t="shared" si="1"/>
        <v>Охрана теплового пункта</v>
      </c>
      <c r="R36" s="1" t="s">
        <v>71</v>
      </c>
    </row>
    <row r="37" spans="1:18" ht="51" customHeight="1" outlineLevel="1">
      <c r="A37" s="150" t="str">
        <f>ПТО!A48</f>
        <v>Коммунальные ресурсы на содержание общего имущества</v>
      </c>
      <c r="B37" s="150"/>
      <c r="C37" s="150"/>
      <c r="D37" s="150"/>
      <c r="E37" s="150"/>
      <c r="F37" s="155">
        <f>VLOOKUP(A37,ПТО!$A$39:$D$53,2,FALSE)</f>
        <v>63831.231899999999</v>
      </c>
      <c r="G37" s="155"/>
      <c r="H37" s="42" t="str">
        <f>VLOOKUP(A37,ПТО!$A$39:$D$53,3,FALSE)</f>
        <v>Ежемесячно</v>
      </c>
      <c r="I37" s="151">
        <f>VLOOKUP(A37,ПТО!$A$39:$D$53,4,FALSE)</f>
        <v>12</v>
      </c>
      <c r="J37" s="151"/>
      <c r="K37" s="109"/>
      <c r="L37" s="167"/>
      <c r="M37" s="115"/>
      <c r="N37" s="109"/>
      <c r="O37" s="23" t="str">
        <f t="shared" si="1"/>
        <v>Коммунальные ресурсы на содержание общего имущества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09"/>
      <c r="L38" s="16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09"/>
      <c r="L39" s="16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09"/>
      <c r="L40" s="16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09"/>
      <c r="L41" s="16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09"/>
      <c r="L42" s="16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Приобретение и установка ОДПУ на подпитку ГВС.</v>
      </c>
      <c r="B43" s="150"/>
      <c r="C43" s="150"/>
      <c r="D43" s="150"/>
      <c r="E43" s="150"/>
      <c r="F43" s="155">
        <f>VLOOKUP(A43,ПТО!$A$2:$D$31,4,FALSE)</f>
        <v>4127.0600000000004</v>
      </c>
      <c r="G43" s="155"/>
      <c r="H43" s="19" t="str">
        <f>VLOOKUP(A43,ПТО!$A$2:$D$31,2,FALSE)</f>
        <v>разово</v>
      </c>
      <c r="I43" s="151">
        <f>VLOOKUP(A43,ПТО!$A$2:$D$31,3,FALSE)</f>
        <v>1</v>
      </c>
      <c r="J43" s="151"/>
      <c r="K43" s="109"/>
      <c r="L43" s="167"/>
      <c r="M43" s="115"/>
      <c r="N43" s="109"/>
      <c r="O43" s="23" t="str">
        <f t="shared" si="1"/>
        <v>Приобретение и установка ОДПУ на подпитку ГВС.</v>
      </c>
      <c r="R43" s="22" t="s">
        <v>72</v>
      </c>
    </row>
    <row r="44" spans="1:18" ht="51" customHeight="1" outlineLevel="1">
      <c r="A44" s="150" t="str">
        <f>ПТО!A3</f>
        <v>Изготовление и монтаж таблички класса энергоэффиктивности.</v>
      </c>
      <c r="B44" s="150"/>
      <c r="C44" s="150"/>
      <c r="D44" s="150"/>
      <c r="E44" s="150"/>
      <c r="F44" s="155">
        <f>VLOOKUP(A44,ПТО!$A$2:$D$31,4,FALSE)</f>
        <v>216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09"/>
      <c r="L44" s="167"/>
      <c r="M44" s="115"/>
      <c r="N44" s="109"/>
      <c r="O44" s="23" t="str">
        <f t="shared" si="1"/>
        <v>Изготовление и монтаж таблички класса энергоэффиктивности.</v>
      </c>
      <c r="R44" s="22" t="s">
        <v>72</v>
      </c>
    </row>
    <row r="45" spans="1:18" ht="51" customHeight="1" outlineLevel="1">
      <c r="A45" s="150" t="str">
        <f>ПТО!A4</f>
        <v>Монтаж дополнительных камер системы видеонаблюдения (8 шт.).</v>
      </c>
      <c r="B45" s="150"/>
      <c r="C45" s="150"/>
      <c r="D45" s="150"/>
      <c r="E45" s="150"/>
      <c r="F45" s="155">
        <f>VLOOKUP(A45,ПТО!$A$2:$D$31,4,FALSE)</f>
        <v>71580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09"/>
      <c r="L45" s="167"/>
      <c r="M45" s="115"/>
      <c r="N45" s="109"/>
      <c r="O45" s="23" t="str">
        <f t="shared" si="1"/>
        <v>Монтаж дополнительных камер системы видеонаблюдения (8 шт.).</v>
      </c>
      <c r="R45" s="22" t="s">
        <v>72</v>
      </c>
    </row>
    <row r="46" spans="1:18" ht="51" customHeight="1" outlineLevel="1">
      <c r="A46" s="150" t="str">
        <f>ПТО!A5</f>
        <v>Благоустройство придомовой территории (приобретение песка).</v>
      </c>
      <c r="B46" s="150"/>
      <c r="C46" s="150"/>
      <c r="D46" s="150"/>
      <c r="E46" s="150"/>
      <c r="F46" s="155">
        <f>VLOOKUP(A46,ПТО!$A$2:$D$31,4,FALSE)</f>
        <v>500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09"/>
      <c r="L46" s="167"/>
      <c r="M46" s="115"/>
      <c r="N46" s="109"/>
      <c r="O46" s="23" t="str">
        <f t="shared" si="1"/>
        <v>Благоустройство придомовой территории (приобретение песка).</v>
      </c>
      <c r="R46" s="22" t="s">
        <v>72</v>
      </c>
    </row>
    <row r="47" spans="1:18" ht="51" customHeight="1" outlineLevel="1">
      <c r="A47" s="150" t="str">
        <f>ПТО!A6</f>
        <v>Аварийный ремонт теплообменника ГВС.</v>
      </c>
      <c r="B47" s="150"/>
      <c r="C47" s="150"/>
      <c r="D47" s="150"/>
      <c r="E47" s="150"/>
      <c r="F47" s="155">
        <f>VLOOKUP(A47,ПТО!$A$2:$D$31,4,FALSE)</f>
        <v>85047</v>
      </c>
      <c r="G47" s="155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09"/>
      <c r="L47" s="167"/>
      <c r="M47" s="115"/>
      <c r="N47" s="109"/>
      <c r="O47" s="23" t="str">
        <f t="shared" si="1"/>
        <v>Аварийный ремонт теплообменника ГВС.</v>
      </c>
      <c r="R47" s="22" t="s">
        <v>72</v>
      </c>
    </row>
    <row r="48" spans="1:18" ht="51" customHeight="1" outlineLevel="1">
      <c r="A48" s="150" t="str">
        <f>ПТО!A7</f>
        <v>Приобретение и установка ОДПУ ХВС.</v>
      </c>
      <c r="B48" s="150"/>
      <c r="C48" s="150"/>
      <c r="D48" s="150"/>
      <c r="E48" s="150"/>
      <c r="F48" s="155">
        <f>VLOOKUP(A48,ПТО!$A$2:$D$31,4,FALSE)</f>
        <v>5867</v>
      </c>
      <c r="G48" s="155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09"/>
      <c r="L48" s="167"/>
      <c r="M48" s="115"/>
      <c r="N48" s="109"/>
      <c r="O48" s="23" t="str">
        <f t="shared" si="1"/>
        <v>Приобретение и установка ОДПУ ХВС.</v>
      </c>
      <c r="R48" s="22" t="s">
        <v>72</v>
      </c>
    </row>
    <row r="49" spans="1:18" ht="51" customHeight="1" outlineLevel="1">
      <c r="A49" s="150" t="str">
        <f>ПТО!A8</f>
        <v>Приобретение и установка информационного стенда на детскую площадку.</v>
      </c>
      <c r="B49" s="150"/>
      <c r="C49" s="150"/>
      <c r="D49" s="150"/>
      <c r="E49" s="150"/>
      <c r="F49" s="155">
        <f>VLOOKUP(A49,ПТО!$A$2:$D$31,4,FALSE)</f>
        <v>542.4</v>
      </c>
      <c r="G49" s="155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09"/>
      <c r="L49" s="167"/>
      <c r="M49" s="115"/>
      <c r="N49" s="109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customHeight="1" outlineLevel="1">
      <c r="A50" s="150" t="str">
        <f>ПТО!A9</f>
        <v>Ремонт подъезда (1 этаж).</v>
      </c>
      <c r="B50" s="150"/>
      <c r="C50" s="150"/>
      <c r="D50" s="150"/>
      <c r="E50" s="150"/>
      <c r="F50" s="155">
        <f>VLOOKUP(A50,ПТО!$A$2:$D$31,4,FALSE)</f>
        <v>154713</v>
      </c>
      <c r="G50" s="155"/>
      <c r="H50" s="25" t="str">
        <f>VLOOKUP(A50,ПТО!$A$2:$D$31,2,FALSE)</f>
        <v>разово</v>
      </c>
      <c r="I50" s="151">
        <f>VLOOKUP(A50,ПТО!$A$2:$D$31,3,FALSE)</f>
        <v>1</v>
      </c>
      <c r="J50" s="151"/>
      <c r="K50" s="109"/>
      <c r="L50" s="167"/>
      <c r="M50" s="115"/>
      <c r="N50" s="109"/>
      <c r="O50" s="23" t="str">
        <f t="shared" si="1"/>
        <v>Ремонт подъезда (1 этаж).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09"/>
      <c r="L51" s="167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09"/>
      <c r="L52" s="167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09"/>
      <c r="L53" s="167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09"/>
      <c r="L54" s="167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09"/>
      <c r="L55" s="167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09"/>
      <c r="L56" s="167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09"/>
      <c r="L57" s="167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09"/>
      <c r="L58" s="167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09"/>
      <c r="L59" s="167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09"/>
      <c r="L60" s="167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09"/>
      <c r="L61" s="167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09"/>
      <c r="L62" s="167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09"/>
      <c r="L63" s="167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09"/>
      <c r="L64" s="16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09"/>
      <c r="L65" s="16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09"/>
      <c r="L66" s="16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09"/>
      <c r="L67" s="16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09"/>
      <c r="L68" s="16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09"/>
      <c r="L69" s="16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09"/>
      <c r="L70" s="16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5"/>
      <c r="L71" s="16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09"/>
      <c r="L72" s="16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09"/>
      <c r="L75" s="170"/>
      <c r="M75" s="109"/>
      <c r="N75" s="109"/>
      <c r="O75" s="70" t="s">
        <v>98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09"/>
      <c r="L76" s="170"/>
      <c r="M76" s="109"/>
      <c r="N76" s="109"/>
      <c r="O76" s="70" t="s">
        <v>99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09"/>
      <c r="L77" s="170"/>
      <c r="M77" s="109"/>
      <c r="N77" s="109"/>
      <c r="O77" s="70" t="s">
        <v>100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09"/>
      <c r="L78" s="170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7">
        <f t="shared" ref="J81:J90" si="2">VLOOKUP(O81,АО,3,FALSE)</f>
        <v>0</v>
      </c>
      <c r="K81" s="109"/>
      <c r="L81" s="156"/>
      <c r="M81" s="109"/>
      <c r="N81" s="109"/>
      <c r="O81" s="70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7">
        <f t="shared" si="2"/>
        <v>0</v>
      </c>
      <c r="K82" s="109"/>
      <c r="L82" s="156"/>
      <c r="M82" s="109"/>
      <c r="N82" s="109"/>
      <c r="O82" s="70" t="s">
        <v>103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406113.78</v>
      </c>
      <c r="K83" s="109"/>
      <c r="L83" s="156"/>
      <c r="M83" s="109"/>
      <c r="N83" s="109"/>
      <c r="O83" s="70" t="s">
        <v>104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09"/>
      <c r="L84" s="156"/>
      <c r="M84" s="109"/>
      <c r="N84" s="109"/>
      <c r="O84" s="70" t="s">
        <v>105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09"/>
      <c r="L85" s="156"/>
      <c r="M85" s="109"/>
      <c r="N85" s="109"/>
      <c r="O85" s="70" t="s">
        <v>106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316966.90999999997</v>
      </c>
      <c r="K86" s="109"/>
      <c r="L86" s="156"/>
      <c r="M86" s="109"/>
      <c r="N86" s="109"/>
      <c r="O86" s="70" t="s">
        <v>107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09"/>
      <c r="L87" s="156"/>
      <c r="M87" s="109"/>
      <c r="N87" s="109"/>
      <c r="O87" s="70" t="s">
        <v>108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09"/>
      <c r="L88" s="156"/>
      <c r="M88" s="109"/>
      <c r="N88" s="109"/>
      <c r="O88" s="70" t="s">
        <v>109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09"/>
      <c r="L89" s="156"/>
      <c r="M89" s="109"/>
      <c r="N89" s="109"/>
      <c r="O89" s="70" t="s">
        <v>110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09"/>
      <c r="L90" s="15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09"/>
      <c r="L93" s="109"/>
      <c r="M93" s="109"/>
      <c r="N93" s="109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50895.26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42412.72</v>
      </c>
      <c r="L95" s="157"/>
      <c r="O95" s="1" t="s">
        <v>112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52416.93</v>
      </c>
      <c r="L96" s="157"/>
      <c r="O96" s="1" t="s">
        <v>113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0</v>
      </c>
      <c r="L97" s="157"/>
      <c r="O97" s="1" t="s">
        <v>114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50895.26</v>
      </c>
      <c r="L98" s="157"/>
      <c r="O98" s="1" t="s">
        <v>115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50895.26</v>
      </c>
      <c r="L99" s="157"/>
      <c r="O99" s="1" t="s">
        <v>116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117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118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7542.98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571.44000000000005</v>
      </c>
      <c r="L103" s="157"/>
      <c r="O103" s="1" t="s">
        <v>121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18433.43</v>
      </c>
      <c r="L104" s="157"/>
      <c r="O104" s="1" t="s">
        <v>122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0</v>
      </c>
      <c r="L105" s="157"/>
      <c r="O105" s="1" t="s">
        <v>123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7542.98</v>
      </c>
      <c r="L106" s="157"/>
      <c r="O106" s="1" t="s">
        <v>124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7542.98</v>
      </c>
      <c r="L107" s="157"/>
      <c r="O107" s="1" t="s">
        <v>125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126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127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10536.63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656.9</v>
      </c>
      <c r="L111" s="157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29867.08</v>
      </c>
      <c r="L112" s="157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57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10536.63</v>
      </c>
      <c r="L114" s="157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10536.63</v>
      </c>
      <c r="L115" s="157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135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4">
        <f>VLOOKUP("тко",АО,5,FALSE)</f>
        <v>0</v>
      </c>
      <c r="H118" s="153"/>
      <c r="I118" s="153"/>
      <c r="J118" s="153"/>
      <c r="L118" s="47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12342.72</v>
      </c>
      <c r="L120" s="47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3" t="str">
        <f>IF(VLOOKUP("гвс",АО,3,FALSE)&gt;0,VLOOKUP("гвс",АО,3,FALSE),0)</f>
        <v>Предоставляется</v>
      </c>
      <c r="E126" s="153"/>
      <c r="F126" s="13" t="str">
        <f>IF(VLOOKUP("гвс",АО,3,FALSE)&gt;0,VLOOKUP("гвс",АО,4,FALSE),0)</f>
        <v>куб.м.</v>
      </c>
      <c r="G126" s="154">
        <f>VLOOKUP("гвс",АО,5,FALSE)</f>
        <v>8958.08</v>
      </c>
      <c r="H126" s="153"/>
      <c r="I126" s="153"/>
      <c r="J126" s="153"/>
      <c r="L126" s="47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678.64</v>
      </c>
      <c r="L127" s="47"/>
      <c r="O127" s="1" t="s">
        <v>145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54019.66</v>
      </c>
      <c r="L128" s="47"/>
      <c r="O128" s="1" t="s">
        <v>146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8958.08</v>
      </c>
      <c r="L130" s="47"/>
      <c r="O130" s="1" t="s">
        <v>148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8958.08</v>
      </c>
      <c r="L131" s="47"/>
      <c r="O131" s="1" t="s">
        <v>149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7"/>
      <c r="O133" s="1" t="s">
        <v>151</v>
      </c>
    </row>
    <row r="134" spans="1:15" ht="32.25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7"/>
    </row>
    <row r="135" spans="1:15" ht="32.25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7"/>
      <c r="O135" s="1" t="s">
        <v>153</v>
      </c>
    </row>
    <row r="136" spans="1:15" ht="32.25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7"/>
      <c r="O136" s="1" t="s">
        <v>154</v>
      </c>
    </row>
    <row r="137" spans="1:15" ht="32.25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7"/>
      <c r="O137" s="1" t="s">
        <v>155</v>
      </c>
    </row>
    <row r="138" spans="1:15" ht="32.25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7"/>
      <c r="O138" s="1" t="s">
        <v>156</v>
      </c>
    </row>
    <row r="139" spans="1:15" ht="32.25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7"/>
      <c r="O139" s="1" t="s">
        <v>157</v>
      </c>
    </row>
    <row r="140" spans="1:15" ht="32.25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7"/>
      <c r="O140" s="1" t="s">
        <v>158</v>
      </c>
    </row>
    <row r="141" spans="1:15" ht="32.25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1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185431.5</v>
      </c>
      <c r="O146" t="s">
        <v>171</v>
      </c>
    </row>
    <row r="149" spans="1:15" ht="52.5" customHeight="1">
      <c r="A149" s="173" t="s">
        <v>178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5" t="s">
        <v>184</v>
      </c>
      <c r="B154" s="175"/>
      <c r="C154" s="175"/>
      <c r="D154" s="175"/>
      <c r="E154" s="27">
        <f>ПТО!G1</f>
        <v>-194733.96</v>
      </c>
    </row>
    <row r="155" spans="1:15" ht="34.5" customHeight="1">
      <c r="A155" s="174" t="s">
        <v>186</v>
      </c>
      <c r="B155" s="174"/>
      <c r="C155" s="174"/>
      <c r="D155" s="174"/>
      <c r="E155" s="28">
        <f>J13</f>
        <v>228444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Приобретение и установка ОДПУ на подпитку ГВС.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4127.0600000000004</v>
      </c>
      <c r="G158" s="155"/>
      <c r="H158" s="24" t="str">
        <f t="shared" ref="H158:H187" si="16">VLOOKUP(A158,$A$28:$J$72,8,FALSE)</f>
        <v>разово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Приобретение и установка ОДПУ на подпитку ГВС.</v>
      </c>
    </row>
    <row r="159" spans="1:15" ht="28.5" customHeight="1">
      <c r="A159" s="150" t="str">
        <f t="shared" si="14"/>
        <v>Изготовление и монтаж таблички класса энергоэффиктивности.</v>
      </c>
      <c r="B159" s="150"/>
      <c r="C159" s="150"/>
      <c r="D159" s="150"/>
      <c r="E159" s="150"/>
      <c r="F159" s="155">
        <f t="shared" si="15"/>
        <v>216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Изготовление и монтаж таблички класса энергоэффиктивности.</v>
      </c>
    </row>
    <row r="160" spans="1:15" ht="28.5" customHeight="1">
      <c r="A160" s="150" t="str">
        <f t="shared" si="14"/>
        <v>Монтаж дополнительных камер системы видеонаблюдения (8 шт.).</v>
      </c>
      <c r="B160" s="150"/>
      <c r="C160" s="150"/>
      <c r="D160" s="150"/>
      <c r="E160" s="150"/>
      <c r="F160" s="155">
        <f t="shared" si="15"/>
        <v>71580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Монтаж дополнительных камер системы видеонаблюдения (8 шт.).</v>
      </c>
    </row>
    <row r="161" spans="1:14" ht="28.5" customHeight="1">
      <c r="A161" s="150" t="str">
        <f>IF(N161&gt;0,N161,0)</f>
        <v>Благоустройство придомовой территории (приобретение песка).</v>
      </c>
      <c r="B161" s="150"/>
      <c r="C161" s="150"/>
      <c r="D161" s="150"/>
      <c r="E161" s="150"/>
      <c r="F161" s="155">
        <f t="shared" si="15"/>
        <v>500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Благоустройство придомовой территории (приобретение песка).</v>
      </c>
    </row>
    <row r="162" spans="1:14" ht="28.5" customHeight="1">
      <c r="A162" s="150" t="str">
        <f t="shared" si="14"/>
        <v>Аварийный ремонт теплообменника ГВС.</v>
      </c>
      <c r="B162" s="150"/>
      <c r="C162" s="150"/>
      <c r="D162" s="150"/>
      <c r="E162" s="150"/>
      <c r="F162" s="155">
        <f t="shared" si="15"/>
        <v>85047</v>
      </c>
      <c r="G162" s="155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Аварийный ремонт теплообменника ГВС.</v>
      </c>
    </row>
    <row r="163" spans="1:14" ht="28.5" customHeight="1">
      <c r="A163" s="150" t="str">
        <f t="shared" si="14"/>
        <v>Приобретение и установка ОДПУ ХВС.</v>
      </c>
      <c r="B163" s="150"/>
      <c r="C163" s="150"/>
      <c r="D163" s="150"/>
      <c r="E163" s="150"/>
      <c r="F163" s="155">
        <f t="shared" si="15"/>
        <v>5867</v>
      </c>
      <c r="G163" s="155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Приобретение и установка ОДПУ ХВС.</v>
      </c>
    </row>
    <row r="164" spans="1:14" ht="28.5" customHeight="1">
      <c r="A164" s="150" t="str">
        <f t="shared" ref="A164:A187" si="18">IF(N164&gt;0,N164,0)</f>
        <v>Приобретение и установка информационного стенда на детскую площадку.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542.4</v>
      </c>
      <c r="G164" s="155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customHeight="1">
      <c r="A165" s="150" t="str">
        <f t="shared" si="18"/>
        <v>Ремонт подъезда (1 этаж).</v>
      </c>
      <c r="B165" s="150"/>
      <c r="C165" s="150"/>
      <c r="D165" s="150"/>
      <c r="E165" s="150"/>
      <c r="F165" s="155">
        <f t="shared" si="19"/>
        <v>154713</v>
      </c>
      <c r="G165" s="155"/>
      <c r="H165" s="29" t="str">
        <f t="shared" si="16"/>
        <v>разово</v>
      </c>
      <c r="I165" s="151">
        <f t="shared" si="20"/>
        <v>1</v>
      </c>
      <c r="J165" s="151"/>
      <c r="M165" s="22" t="s">
        <v>72</v>
      </c>
      <c r="N165" s="1" t="str">
        <v>Ремонт подъезда (1 этаж).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5" t="s">
        <v>187</v>
      </c>
      <c r="B190" s="175"/>
      <c r="C190" s="175"/>
      <c r="D190" s="175"/>
      <c r="E190" s="27">
        <f>SUM(F158:G187)</f>
        <v>322592.45999999996</v>
      </c>
    </row>
    <row r="191" spans="1:14" ht="51.75" customHeight="1">
      <c r="A191" s="175" t="s">
        <v>188</v>
      </c>
      <c r="B191" s="175"/>
      <c r="C191" s="175"/>
      <c r="D191" s="175"/>
      <c r="E191" s="27">
        <f>E190+E154-E155</f>
        <v>-100585.50000000003</v>
      </c>
    </row>
    <row r="192" spans="1:14">
      <c r="A192" s="104" t="s">
        <v>173</v>
      </c>
    </row>
    <row r="193" spans="1:10" ht="62.25" customHeight="1">
      <c r="A193" s="149" t="s">
        <v>185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49">
        <f>ПТО!G12</f>
        <v>1200</v>
      </c>
      <c r="I194" s="50" t="s">
        <v>74</v>
      </c>
    </row>
    <row r="195" spans="1:10" ht="18.75" customHeight="1">
      <c r="A195" s="147" t="str">
        <f>ПТО!F13</f>
        <v xml:space="preserve">  -  ремонт подъезда</v>
      </c>
      <c r="B195" s="147"/>
      <c r="C195" s="147"/>
      <c r="D195" s="147"/>
      <c r="E195" s="147"/>
      <c r="F195" s="147"/>
      <c r="G195" s="147"/>
      <c r="H195" s="49">
        <f>ПТО!G13</f>
        <v>400000</v>
      </c>
      <c r="I195" s="50" t="s">
        <v>74</v>
      </c>
    </row>
    <row r="196" spans="1:10" ht="18.75" customHeight="1">
      <c r="A196" s="147" t="str">
        <f>ПТО!F14</f>
        <v xml:space="preserve">  - установка газонного ограждения</v>
      </c>
      <c r="B196" s="147"/>
      <c r="C196" s="147"/>
      <c r="D196" s="147"/>
      <c r="E196" s="147"/>
      <c r="F196" s="147"/>
      <c r="G196" s="147"/>
      <c r="H196" s="49">
        <f>ПТО!G14</f>
        <v>70000</v>
      </c>
      <c r="I196" s="50" t="s">
        <v>74</v>
      </c>
    </row>
    <row r="197" spans="1:10" ht="18.75" hidden="1" customHeight="1">
      <c r="A197" s="147">
        <f>ПТО!F15</f>
        <v>0</v>
      </c>
      <c r="B197" s="147"/>
      <c r="C197" s="147"/>
      <c r="D197" s="147"/>
      <c r="E197" s="147"/>
      <c r="F197" s="147"/>
      <c r="G197" s="147"/>
      <c r="H197" s="49">
        <f>ПТО!G15</f>
        <v>0</v>
      </c>
      <c r="I197" s="50" t="s">
        <v>74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49">
        <f>ПТО!G16</f>
        <v>0</v>
      </c>
      <c r="I198" s="52" t="s">
        <v>74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49">
        <f>ПТО!G17</f>
        <v>0</v>
      </c>
      <c r="I199" s="50" t="s">
        <v>74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49">
        <f>ПТО!G18</f>
        <v>0</v>
      </c>
      <c r="I200" s="50" t="s">
        <v>74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49">
        <f>ПТО!G19</f>
        <v>0</v>
      </c>
      <c r="I201" s="50" t="s">
        <v>74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49">
        <f>ПТО!G20</f>
        <v>0</v>
      </c>
      <c r="I202" s="50" t="s">
        <v>74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49">
        <f>ПТО!G21</f>
        <v>0</v>
      </c>
      <c r="I203" s="50" t="s">
        <v>74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49">
        <f>ПТО!G22</f>
        <v>0</v>
      </c>
      <c r="I204" s="50" t="s">
        <v>74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49">
        <f>ПТО!G23</f>
        <v>0</v>
      </c>
      <c r="I205" s="50" t="s">
        <v>74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49">
        <f>ПТО!G24</f>
        <v>0</v>
      </c>
      <c r="I206" s="50" t="s">
        <v>74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49">
        <f>ПТО!G25</f>
        <v>0</v>
      </c>
      <c r="I207" s="50" t="s">
        <v>74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49">
        <f>ПТО!G26</f>
        <v>0</v>
      </c>
      <c r="I208" s="50" t="s">
        <v>74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49">
        <f>ПТО!G27</f>
        <v>0</v>
      </c>
      <c r="I209" s="50" t="s">
        <v>74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49">
        <f>ПТО!G28</f>
        <v>0</v>
      </c>
      <c r="I210" s="50" t="s">
        <v>74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49">
        <f>ПТО!G29</f>
        <v>0</v>
      </c>
      <c r="I211" s="50" t="s">
        <v>74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49">
        <f>ПТО!G30</f>
        <v>0</v>
      </c>
      <c r="I212" s="50" t="s">
        <v>74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471200</v>
      </c>
      <c r="I214" s="56" t="s">
        <v>76</v>
      </c>
    </row>
  </sheetData>
  <sheetProtection algorithmName="SHA-512" hashValue="Si997BpI/Q4eMbivo+UW8akdqWtXEFWhBpbzhI2R/t5DSmwa3p9k3rhFooKc6uJIb2TrBAtURLNNkLnRXJCHog==" saltValue="Ne6WeL7+FD7xpdKB/4cf/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3" sqref="A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-194733.96</f>
        <v>-194733.96</v>
      </c>
    </row>
    <row r="2" spans="1:12" ht="18.75" customHeight="1">
      <c r="A2" s="44" t="s">
        <v>180</v>
      </c>
      <c r="B2" s="131" t="s">
        <v>179</v>
      </c>
      <c r="C2" s="122">
        <v>1</v>
      </c>
      <c r="D2" s="43">
        <v>4127.0600000000004</v>
      </c>
      <c r="E2" s="44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190</v>
      </c>
      <c r="B3" s="121" t="s">
        <v>179</v>
      </c>
      <c r="C3" s="122">
        <v>1</v>
      </c>
      <c r="D3" s="46">
        <v>216</v>
      </c>
      <c r="E3" s="123" t="s">
        <v>191</v>
      </c>
      <c r="F3" s="30"/>
      <c r="G3" s="30"/>
      <c r="L3" s="33" t="str">
        <f t="shared" si="0"/>
        <v>ТР</v>
      </c>
    </row>
    <row r="4" spans="1:12" ht="18.75" customHeight="1">
      <c r="A4" s="124" t="s">
        <v>189</v>
      </c>
      <c r="B4" s="125" t="s">
        <v>179</v>
      </c>
      <c r="C4" s="125">
        <v>1</v>
      </c>
      <c r="D4" s="146">
        <v>71580</v>
      </c>
      <c r="E4" s="123" t="s">
        <v>193</v>
      </c>
      <c r="F4" s="30"/>
      <c r="G4" s="30"/>
      <c r="L4" s="33" t="str">
        <f t="shared" si="0"/>
        <v>ТР</v>
      </c>
    </row>
    <row r="5" spans="1:12" ht="18.75" customHeight="1">
      <c r="A5" s="126" t="s">
        <v>192</v>
      </c>
      <c r="B5" s="127" t="s">
        <v>179</v>
      </c>
      <c r="C5" s="128">
        <v>1</v>
      </c>
      <c r="D5" s="129">
        <v>500</v>
      </c>
      <c r="E5" s="130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32" t="s">
        <v>196</v>
      </c>
      <c r="B6" s="133" t="s">
        <v>179</v>
      </c>
      <c r="C6" s="128">
        <v>1</v>
      </c>
      <c r="D6" s="146">
        <v>85047</v>
      </c>
      <c r="E6" s="123" t="s">
        <v>199</v>
      </c>
      <c r="F6" s="45"/>
      <c r="G6" s="44"/>
      <c r="K6" s="46"/>
      <c r="L6" s="33" t="str">
        <f t="shared" si="0"/>
        <v>ТР</v>
      </c>
    </row>
    <row r="7" spans="1:12" ht="18.75" customHeight="1">
      <c r="A7" s="134" t="s">
        <v>197</v>
      </c>
      <c r="B7" s="135" t="s">
        <v>179</v>
      </c>
      <c r="C7" s="136">
        <v>1</v>
      </c>
      <c r="D7" s="137">
        <v>5867</v>
      </c>
      <c r="E7" s="123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202</v>
      </c>
      <c r="B8" s="125" t="s">
        <v>179</v>
      </c>
      <c r="C8" s="141">
        <v>1</v>
      </c>
      <c r="D8" s="142">
        <v>542.4</v>
      </c>
      <c r="E8" s="139" t="s">
        <v>203</v>
      </c>
      <c r="F8" s="45"/>
      <c r="G8" s="45"/>
      <c r="K8" s="43"/>
      <c r="L8" s="33" t="str">
        <f t="shared" si="0"/>
        <v>ТР</v>
      </c>
    </row>
    <row r="9" spans="1:12">
      <c r="A9" s="138" t="s">
        <v>198</v>
      </c>
      <c r="B9" s="125" t="s">
        <v>179</v>
      </c>
      <c r="C9" s="125">
        <v>1</v>
      </c>
      <c r="D9" s="146">
        <f>113913+40800</f>
        <v>154713</v>
      </c>
      <c r="E9" s="123" t="s">
        <v>201</v>
      </c>
      <c r="F9" s="44"/>
      <c r="G9" s="44"/>
      <c r="K9" s="43"/>
      <c r="L9" s="33" t="str">
        <f t="shared" si="0"/>
        <v>ТР</v>
      </c>
    </row>
    <row r="10" spans="1:12">
      <c r="L10" s="33">
        <f t="shared" si="0"/>
        <v>0</v>
      </c>
    </row>
    <row r="11" spans="1:12" ht="94.5">
      <c r="F11" s="111" t="s">
        <v>185</v>
      </c>
      <c r="G11" s="111"/>
      <c r="L11" s="33">
        <f t="shared" si="0"/>
        <v>0</v>
      </c>
    </row>
    <row r="12" spans="1:12" ht="31.5">
      <c r="F12" s="112" t="s">
        <v>73</v>
      </c>
      <c r="G12" s="113">
        <v>1200</v>
      </c>
      <c r="L12" s="33">
        <f t="shared" si="0"/>
        <v>0</v>
      </c>
    </row>
    <row r="13" spans="1:12" ht="15.75">
      <c r="F13" s="117" t="s">
        <v>177</v>
      </c>
      <c r="G13" s="118">
        <v>400000</v>
      </c>
      <c r="L13" s="33">
        <f t="shared" si="0"/>
        <v>0</v>
      </c>
    </row>
    <row r="14" spans="1:12" ht="15.75">
      <c r="F14" s="117" t="s">
        <v>183</v>
      </c>
      <c r="G14" s="118">
        <v>70000</v>
      </c>
      <c r="L14" s="33">
        <f t="shared" si="0"/>
        <v>0</v>
      </c>
    </row>
    <row r="15" spans="1:12" ht="15.75">
      <c r="F15" s="117"/>
      <c r="G15" s="118"/>
      <c r="L15" s="33">
        <f t="shared" si="0"/>
        <v>0</v>
      </c>
    </row>
    <row r="16" spans="1:12">
      <c r="F16" s="103"/>
      <c r="L16" s="33">
        <f t="shared" si="0"/>
        <v>0</v>
      </c>
    </row>
    <row r="17" spans="1:12" ht="15.75">
      <c r="F17" s="117"/>
      <c r="G17" s="118"/>
      <c r="L17" s="33">
        <f t="shared" si="0"/>
        <v>0</v>
      </c>
    </row>
    <row r="18" spans="1:12"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271848.36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271848.36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73102.080000000002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73102.080000000002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64878.12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64878.12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54826.559999999998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54826.559999999998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21930.6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21930.6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112394.4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112394.4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 ht="25.5">
      <c r="A47" s="37" t="s">
        <v>181</v>
      </c>
      <c r="B47" s="119">
        <v>3655.08</v>
      </c>
      <c r="C47" s="38" t="s">
        <v>70</v>
      </c>
      <c r="D47" s="48">
        <v>12</v>
      </c>
      <c r="L47" s="40" t="str">
        <f t="shared" si="2"/>
        <v>СОД</v>
      </c>
      <c r="M47" t="str">
        <f t="shared" si="3"/>
        <v>Охрана теплового пункта</v>
      </c>
      <c r="N47" s="41">
        <f t="shared" si="4"/>
        <v>3655.08</v>
      </c>
      <c r="O47" s="41" t="str">
        <f t="shared" si="5"/>
        <v>Круглосуточно</v>
      </c>
      <c r="P47">
        <f t="shared" si="6"/>
        <v>12</v>
      </c>
    </row>
    <row r="48" spans="1:16">
      <c r="A48" s="37" t="s">
        <v>204</v>
      </c>
      <c r="B48" s="119">
        <f>(E48*G54*F56*6+E48*G54*G56*6)+(F48*G60*F62*6+F48*G60*G62*6)+(F48*G64*F66*6+F48*G64*G66*6)</f>
        <v>63831.231899999999</v>
      </c>
      <c r="C48" s="143" t="s">
        <v>68</v>
      </c>
      <c r="D48" s="48">
        <v>12</v>
      </c>
      <c r="E48" s="119">
        <v>1016.6</v>
      </c>
      <c r="F48" s="119">
        <v>489.8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63831.231899999999</v>
      </c>
      <c r="O48" s="41" t="str">
        <f t="shared" si="5"/>
        <v>Ежемесячно</v>
      </c>
      <c r="P48">
        <f t="shared" si="6"/>
        <v>12</v>
      </c>
    </row>
    <row r="49" spans="1:16" ht="15.75">
      <c r="A49" s="37"/>
      <c r="B49" s="144"/>
      <c r="C49" s="143"/>
      <c r="D49" s="48"/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:16">
      <c r="E53" s="145" t="s">
        <v>205</v>
      </c>
      <c r="F53" s="145" t="s">
        <v>206</v>
      </c>
      <c r="G53" s="145" t="s">
        <v>207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1:16">
      <c r="E54" s="145">
        <v>35.896999999999998</v>
      </c>
      <c r="F54" s="119">
        <v>3807.4</v>
      </c>
      <c r="G54" s="145">
        <v>3.48</v>
      </c>
      <c r="H54" s="145">
        <f>G54*E48/F54</f>
        <v>0.92918211903135994</v>
      </c>
    </row>
    <row r="55" spans="1:16">
      <c r="E55" s="145"/>
      <c r="F55" s="145" t="s">
        <v>208</v>
      </c>
      <c r="G55" s="145" t="s">
        <v>209</v>
      </c>
      <c r="H55" s="145">
        <f>H54*G57</f>
        <v>40.976931449282972</v>
      </c>
    </row>
    <row r="56" spans="1:16">
      <c r="E56" s="145"/>
      <c r="F56" s="145">
        <v>1.17</v>
      </c>
      <c r="G56" s="145">
        <v>1.23</v>
      </c>
      <c r="H56" s="145"/>
    </row>
    <row r="57" spans="1:16">
      <c r="E57" s="145"/>
      <c r="F57" s="145"/>
      <c r="G57" s="145">
        <v>44.1</v>
      </c>
      <c r="H57" s="145"/>
    </row>
    <row r="58" spans="1:16">
      <c r="E58" s="145"/>
      <c r="F58" s="145"/>
      <c r="G58" s="145"/>
      <c r="H58" s="145"/>
    </row>
    <row r="59" spans="1:16">
      <c r="E59" s="145" t="s">
        <v>210</v>
      </c>
      <c r="F59" s="145"/>
      <c r="G59" s="145"/>
      <c r="H59" s="145"/>
    </row>
    <row r="60" spans="1:16">
      <c r="E60" s="145">
        <v>0.59599999999999997</v>
      </c>
      <c r="F60" s="119">
        <f>F54</f>
        <v>3807.4</v>
      </c>
      <c r="G60" s="145">
        <v>7.4999999999999997E-2</v>
      </c>
      <c r="H60" s="145">
        <f>G60*F48</f>
        <v>36.734999999999999</v>
      </c>
    </row>
    <row r="61" spans="1:16">
      <c r="E61" s="145"/>
      <c r="F61" s="145" t="s">
        <v>208</v>
      </c>
      <c r="G61" s="145" t="s">
        <v>209</v>
      </c>
      <c r="H61" s="145">
        <f>H60/F60</f>
        <v>9.6483164364133001E-3</v>
      </c>
    </row>
    <row r="62" spans="1:16">
      <c r="E62" s="145"/>
      <c r="F62" s="145">
        <v>12.94</v>
      </c>
      <c r="G62" s="145">
        <v>13.45</v>
      </c>
      <c r="H62" s="145">
        <f>H61*G57</f>
        <v>0.42549075484582655</v>
      </c>
    </row>
    <row r="63" spans="1:16">
      <c r="E63" s="145" t="s">
        <v>211</v>
      </c>
      <c r="F63" s="145"/>
      <c r="G63" s="145"/>
      <c r="H63" s="145"/>
    </row>
    <row r="64" spans="1:16">
      <c r="E64" s="145">
        <v>0.59599999999999997</v>
      </c>
      <c r="F64" s="119">
        <f>F54</f>
        <v>3807.4</v>
      </c>
      <c r="G64" s="145">
        <v>7.4999999999999997E-2</v>
      </c>
      <c r="H64" s="145">
        <f>G64*F48</f>
        <v>36.734999999999999</v>
      </c>
    </row>
    <row r="65" spans="4:13" ht="18.75" customHeight="1">
      <c r="E65" s="145"/>
      <c r="F65" s="145" t="s">
        <v>208</v>
      </c>
      <c r="G65" s="145" t="s">
        <v>209</v>
      </c>
      <c r="H65" s="145">
        <f>H64/F64</f>
        <v>9.6483164364133001E-3</v>
      </c>
      <c r="I65" s="99"/>
      <c r="J65" s="99"/>
      <c r="K65" s="99"/>
      <c r="L65" s="99"/>
      <c r="M65" s="99"/>
    </row>
    <row r="66" spans="4:13" ht="18.75" customHeight="1">
      <c r="E66" s="145"/>
      <c r="F66" s="145">
        <v>15.73</v>
      </c>
      <c r="G66" s="145">
        <v>16.350000000000001</v>
      </c>
      <c r="H66" s="145">
        <f>H65*G57</f>
        <v>0.42549075484582655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3807.4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 t="s">
        <v>182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482337.49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1046882.44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628575.11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228444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189863.33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1105355.32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1105355.32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1105355.32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423864.60999999987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104</v>
      </c>
      <c r="B27" s="75" t="s">
        <v>4</v>
      </c>
      <c r="C27" s="86">
        <v>406113.78</v>
      </c>
      <c r="D27" s="81" t="s">
        <v>60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107</v>
      </c>
      <c r="B30" s="75" t="s">
        <v>18</v>
      </c>
      <c r="C30" s="86">
        <v>316966.90999999997</v>
      </c>
      <c r="D30" s="81" t="s">
        <v>66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50895.26</v>
      </c>
      <c r="F37" s="94" t="s">
        <v>166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42412.72</v>
      </c>
      <c r="D38" s="94" t="s">
        <v>164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52416.93</v>
      </c>
      <c r="D39" s="94" t="s">
        <v>165</v>
      </c>
      <c r="E39" s="68"/>
      <c r="G39" s="67"/>
      <c r="H39" s="67"/>
      <c r="L39" s="63"/>
      <c r="M39" s="176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6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50895.26</v>
      </c>
      <c r="D41" s="80" t="s">
        <v>59</v>
      </c>
      <c r="E41" s="68"/>
      <c r="G41" s="67"/>
      <c r="H41" s="67"/>
      <c r="L41" s="63"/>
      <c r="M41" s="176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50895.26</v>
      </c>
      <c r="D42" s="80" t="s">
        <v>59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7542.98</v>
      </c>
      <c r="F45" s="94" t="s">
        <v>166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571.44000000000005</v>
      </c>
      <c r="D46" s="94" t="s">
        <v>167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18433.43</v>
      </c>
      <c r="D47" s="94" t="s">
        <v>165</v>
      </c>
      <c r="E47" s="68"/>
      <c r="G47" s="67"/>
      <c r="H47" s="67"/>
      <c r="L47" s="63"/>
      <c r="M47" s="176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6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7542.98</v>
      </c>
      <c r="D49" s="80" t="s">
        <v>59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7542.98</v>
      </c>
      <c r="D50" s="80" t="s">
        <v>59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10536.63</v>
      </c>
      <c r="F53" s="94" t="s">
        <v>166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656.9</v>
      </c>
      <c r="D54" s="94" t="s">
        <v>167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29867.08</v>
      </c>
      <c r="D55" s="94" t="s">
        <v>165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10536.63</v>
      </c>
      <c r="D57" s="80" t="s">
        <v>59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10536.63</v>
      </c>
      <c r="D58" s="80" t="s">
        <v>59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12342.72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8958.08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678.64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54019.66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8958.08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8958.08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1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185431.5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2022-03-28T02:14:25Z</dcterms:modified>
</cp:coreProperties>
</file>