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A116" i="1" l="1"/>
  <c r="F110" i="1"/>
  <c r="A119" i="1"/>
  <c r="A122" i="1"/>
  <c r="A118" i="1"/>
  <c r="A123" i="1"/>
  <c r="A112" i="1"/>
  <c r="A117" i="1"/>
  <c r="D110" i="1"/>
  <c r="A113" i="1"/>
  <c r="A100" i="1"/>
  <c r="A141" i="1"/>
  <c r="A95" i="1"/>
  <c r="F134" i="1"/>
  <c r="A120" i="1"/>
  <c r="A124" i="1"/>
  <c r="A94" i="1"/>
  <c r="A96" i="1"/>
  <c r="D118" i="1"/>
  <c r="D94" i="1"/>
  <c r="A99" i="1"/>
  <c r="A110" i="1"/>
  <c r="A111" i="1"/>
  <c r="F118" i="1"/>
  <c r="A121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<sst xmlns="http://schemas.openxmlformats.org/spreadsheetml/2006/main" count="564" uniqueCount="209">
  <si>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</si>
  <si>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</si>
  <si>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</si>
  <si>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</si>
  <si>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</si>
  <si>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</si>
  <si>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</si>
  <si>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</si>
  <si>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</si>
  <si>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</si>
  <si>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</si>
  <si>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</si>
  <si>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</si>
  <si>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</si>
  <si>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</si>
  <si>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</si>
  <si>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</si>
  <si>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</si>
  <si>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</si>
  <si>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</si>
  <si>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</si>
  <si>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</si>
  <si>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</si>
  <si>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</si>
  <si>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</si>
  <si>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</si>
  <si>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</si>
  <si>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</si>
  <si>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</si>
  <si>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</si>
  <si>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</si>
  <si>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</si>
  <si>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</si>
  <si>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</si>
  <si>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</si>
  <si>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</si>
  <si>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</si>
  <si>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</si>
  <si>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</si>
  <si>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</si>
  <si>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</si>
  <si>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</si>
  <si>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</si>
  <si>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</si>
  <si>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</si>
  <si>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</si>
  <si>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</si>
  <si>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</si>
  <si>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</si>
  <si>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</si>
  <si>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</si>
  <si>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</si>
  <si>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</si>
  <si>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</si>
  <si>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</si>
  <si>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</si>
  <si>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</si>
  <si>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</si>
  <si>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</si>
  <si>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</si>
  <si>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</si>
  <si>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</si>
  <si>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</si>
  <si>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</si>
  <si>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</si>
  <si>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</si>
  <si>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</si>
  <si>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</si>
  <si>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</si>
  <si>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</si>
  <si>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</si>
  <si>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</si>
  <si>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</si>
  <si>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</si>
  <si>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</si>
  <si>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</si>
  <si>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</si>
  <si>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</si>
  <si>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</si>
  <si>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</si>
  <si>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</si>
  <si>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</si>
  <si>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</si>
  <si>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</si>
  <si>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</si>
  <si>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</si>
  <si>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</si>
  <si>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</si>
  <si>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</si>
  <si>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</si>
  <si>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</si>
  <si>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</si>
  <si>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</si>
  <si>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</si>
  <si>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</si>
  <si>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</si>
  <si>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</si>
  <si>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</si>
  <si>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</si>
  <si>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</si>
  <si>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</si>
  <si>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</si>
  <si>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</si>
  <si>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</si>
  <si>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</si>
  <si>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</si>
  <si>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</si>
  <si>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</si>
  <si>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</si>
  <si>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</si>
  <si>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</si>
  <si>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</si>
  <si>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</si>
  <si>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</si>
  <si>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</si>
  <si>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</si>
  <si>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</si>
  <si>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</si>
  <si>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</si>
  <si>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</si>
  <si>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</si>
  <si>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</si>
  <si>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</si>
  <si>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</si>
  <si>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</si>
  <si>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</si>
  <si>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</si>
  <si>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</si>
  <si>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</si>
  <si>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</si>
  <si>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</si>
  <si>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</si>
  <si>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</si>
  <si>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</si>
  <si>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</si>
  <si>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</si>
  <si>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</si>
  <si>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</si>
  <si>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</si>
  <si>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</si>
  <si>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</si>
  <si>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</si>
  <si>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</si>
  <si>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</si>
  <si>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</si>
  <si>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</si>
  <si>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</si>
  <si>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</si>
  <si>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</si>
  <si>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</si>
  <si>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</si>
  <si>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</si>
  <si>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</si>
  <si>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</si>
  <si>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</si>
  <si>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</si>
  <si>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</si>
  <si>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</si>
  <si>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</si>
  <si>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</si>
  <si>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</si>
  <si>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</si>
  <si>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</si>
  <si>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</si>
  <si>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</si>
  <si>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</si>
  <si>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</si>
  <si>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</si>
  <si>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</si>
  <si>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</si>
  <si>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</si>
  <si>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</si>
  <si>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</si>
  <si>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</si>
  <si>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126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</si>
  <si>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</si>
  <si>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</si>
  <si>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</si>
  <si>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</si>
  <si>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126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</si>
  <si>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</si>
  <si>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</si>
  <si>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</si>
  <si>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</si>
  <si>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</si>
  <si>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Аварийный ремонт теплообменника отопления.</t>
  </si>
  <si>
    <t>разово</t>
  </si>
  <si>
    <t>АВР 1/21 от 18.01.2021</t>
  </si>
  <si>
    <t>Замена аккумулятора охранной сигнализации.</t>
  </si>
  <si>
    <t>АВР 3/21 от 12.05. 2021, счет №4008 от 26.01.2021</t>
  </si>
  <si>
    <t>Приобретение и установка датчика движения.</t>
  </si>
  <si>
    <t>Ремонт погодоведомого оборудования.</t>
  </si>
  <si>
    <t>Приобретение и установка профлиста на приямки.</t>
  </si>
  <si>
    <t>АВР 5/21 от 30.11.2021, Решение, счет №328 от 09.11.21</t>
  </si>
  <si>
    <t>Приобретение и установка информационного стенда на детскую площадку.</t>
  </si>
  <si>
    <t>АВР 4/21 от 29.11.2021</t>
  </si>
  <si>
    <t>АВР 6/21 от 29.11.2021, счет №154 от 02.06.2021</t>
  </si>
  <si>
    <t>АВР 2/21 от 28.04.2021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</si>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</sst>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9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13" fillId="0" borderId="0" xfId="2" applyFont="1" applyFill="1" applyBorder="1" applyAlignment="1"/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12" fillId="0" borderId="0" xfId="5" applyNumberFormat="1" applyBorder="1" applyAlignment="1"/>
    <xf numFmtId="0" fontId="12" fillId="0" borderId="0" xfId="5" applyFill="1" applyBorder="1" applyAlignment="1">
      <alignment horizontal="center" vertical="center"/>
    </xf>
    <xf numFmtId="0" fontId="12" fillId="0" borderId="0" xfId="5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Fill="1"/>
    <xf numFmtId="0" fontId="10" fillId="0" borderId="0" xfId="5" applyFont="1" applyFill="1" applyBorder="1" applyAlignment="1"/>
    <xf numFmtId="0" fontId="0" fillId="0" borderId="0" xfId="0" applyFill="1" applyBorder="1" applyAlignment="1"/>
    <xf numFmtId="0" fontId="27" fillId="0" borderId="0" xfId="14" applyFont="1" applyFill="1" applyBorder="1" applyAlignment="1">
      <alignment horizontal="center"/>
    </xf>
    <xf numFmtId="4" fontId="27" fillId="0" borderId="0" xfId="14" applyNumberFormat="1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0" fontId="9" fillId="0" borderId="0" xfId="15" applyFont="1" applyFill="1" applyBorder="1" applyAlignment="1">
      <alignment horizontal="center"/>
    </xf>
    <xf numFmtId="0" fontId="27" fillId="0" borderId="0" xfId="15" applyFont="1" applyFill="1" applyBorder="1" applyAlignment="1">
      <alignment horizontal="center"/>
    </xf>
    <xf numFmtId="4" fontId="27" fillId="0" borderId="0" xfId="15" applyNumberFormat="1" applyFont="1" applyFill="1" applyBorder="1" applyAlignment="1"/>
    <xf numFmtId="0" fontId="8" fillId="0" borderId="0" xfId="14" applyFont="1" applyFill="1" applyBorder="1" applyAlignment="1"/>
    <xf numFmtId="0" fontId="8" fillId="0" borderId="0" xfId="14" applyFont="1" applyFill="1" applyBorder="1" applyAlignment="1">
      <alignment horizontal="center"/>
    </xf>
    <xf numFmtId="0" fontId="4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4" fontId="11" fillId="0" borderId="0" xfId="14" applyNumberFormat="1" applyFill="1" applyBorder="1" applyAlignment="1"/>
    <xf numFmtId="0" fontId="11" fillId="0" borderId="0" xfId="14" applyFill="1" applyBorder="1" applyAlignment="1">
      <alignment horizontal="center"/>
    </xf>
    <xf numFmtId="0" fontId="6" fillId="0" borderId="0" xfId="14" applyFont="1" applyFill="1" applyBorder="1" applyAlignment="1"/>
    <xf numFmtId="0" fontId="6" fillId="0" borderId="0" xfId="1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41" applyFont="1" applyFill="1" applyBorder="1" applyAlignment="1"/>
    <xf numFmtId="4" fontId="3" fillId="0" borderId="0" xfId="42" applyNumberFormat="1" applyFill="1" applyBorder="1" applyAlignment="1"/>
    <xf numFmtId="0" fontId="3" fillId="0" borderId="0" xfId="31" applyFont="1" applyFill="1" applyBorder="1"/>
    <xf numFmtId="0" fontId="7" fillId="0" borderId="0" xfId="14" applyFont="1" applyFill="1" applyBorder="1" applyAlignment="1"/>
    <xf numFmtId="0" fontId="7" fillId="0" borderId="0" xfId="1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9" fillId="3" borderId="0" xfId="58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59">
    <cellStyle name="Обычный" xfId="0" builtinId="0"/>
    <cellStyle name="Обычный 2" xfId="1"/>
    <cellStyle name="Обычный 2 2" xfId="3"/>
    <cellStyle name="Обычный 2 3" xfId="9"/>
    <cellStyle name="Обычный 2 3 2" xfId="50"/>
    <cellStyle name="Обычный 2 3 3" xfId="33"/>
    <cellStyle name="Обычный 2 3 4" xfId="23"/>
    <cellStyle name="Обычный 2 4" xfId="40"/>
    <cellStyle name="Обычный 2 5" xfId="45"/>
    <cellStyle name="Обычный 2 5 2" xfId="58"/>
    <cellStyle name="Обычный 2 6" xfId="53"/>
    <cellStyle name="Обычный 2 7" xfId="28"/>
    <cellStyle name="Обычный 2 8" xfId="16"/>
    <cellStyle name="Обычный 3" xfId="2"/>
    <cellStyle name="Обычный 3 10" xfId="17"/>
    <cellStyle name="Обычный 3 2" xfId="8"/>
    <cellStyle name="Обычный 3 3" xfId="7"/>
    <cellStyle name="Обычный 3 4" xfId="6"/>
    <cellStyle name="Обычный 3 4 2" xfId="51"/>
    <cellStyle name="Обычный 3 4 3" xfId="38"/>
    <cellStyle name="Обычный 3 4 4" xfId="24"/>
    <cellStyle name="Обычный 3 5" xfId="10"/>
    <cellStyle name="Обычный 3 5 2" xfId="34"/>
    <cellStyle name="Обычный 3 6" xfId="41"/>
    <cellStyle name="Обычный 3 7" xfId="46"/>
    <cellStyle name="Обычный 3 8" xfId="54"/>
    <cellStyle name="Обычный 3 9" xfId="29"/>
    <cellStyle name="Обычный 4" xfId="4"/>
    <cellStyle name="Обычный 4 2" xfId="14"/>
    <cellStyle name="Обычный 4 2 2" xfId="15"/>
    <cellStyle name="Обычный 4 2 2 2" xfId="52"/>
    <cellStyle name="Обычный 4 2 3" xfId="35"/>
    <cellStyle name="Обычный 4 2 4" xfId="25"/>
    <cellStyle name="Обычный 4 3" xfId="11"/>
    <cellStyle name="Обычный 4 3 2" xfId="42"/>
    <cellStyle name="Обычный 4 4" xfId="47"/>
    <cellStyle name="Обычный 4 5" xfId="55"/>
    <cellStyle name="Обычный 4 6" xfId="30"/>
    <cellStyle name="Обычный 4 7" xfId="18"/>
    <cellStyle name="Обычный 5" xfId="5"/>
    <cellStyle name="Обычный 5 2" xfId="12"/>
    <cellStyle name="Обычный 5 2 2" xfId="36"/>
    <cellStyle name="Обычный 5 2 3" xfId="26"/>
    <cellStyle name="Обычный 5 3" xfId="43"/>
    <cellStyle name="Обычный 5 4" xfId="39"/>
    <cellStyle name="Обычный 5 4 2" xfId="44"/>
    <cellStyle name="Обычный 5 4 3" xfId="57"/>
    <cellStyle name="Обычный 5 5" xfId="48"/>
    <cellStyle name="Обычный 5 6" xfId="56"/>
    <cellStyle name="Обычный 5 7" xfId="31"/>
    <cellStyle name="Обычный 5 8" xfId="19"/>
    <cellStyle name="Обычный 6" xfId="21"/>
    <cellStyle name="Финансовый 2" xfId="13"/>
    <cellStyle name="Финансовый 2 2" xfId="27"/>
    <cellStyle name="Финансовый 2 2 2" xfId="37"/>
    <cellStyle name="Финансовый 2 3" xfId="49"/>
    <cellStyle name="Финансовый 2 4" xfId="32"/>
    <cellStyle name="Финансовый 2 5" xfId="20"/>
    <cellStyle name="Финансовый 3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5" sqref="K2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6" t="s">
        <v>174</v>
      </c>
      <c r="B2" s="176"/>
      <c r="C2" s="176"/>
      <c r="D2" s="176"/>
      <c r="E2" s="176"/>
      <c r="F2" s="176"/>
      <c r="G2" s="176"/>
      <c r="H2" s="176"/>
      <c r="I2" s="176"/>
      <c r="J2" s="17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1"/>
      <c r="L8" s="177"/>
      <c r="M8" s="111"/>
      <c r="N8" s="111"/>
      <c r="O8" s="71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1"/>
      <c r="L9" s="177"/>
      <c r="M9" s="111"/>
      <c r="N9" s="111"/>
      <c r="O9" s="71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111579.45</v>
      </c>
      <c r="K10" s="111"/>
      <c r="L10" s="177"/>
      <c r="M10" s="111"/>
      <c r="N10" s="111"/>
      <c r="O10" s="71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249215.31</v>
      </c>
      <c r="K11" s="111"/>
      <c r="L11" s="177"/>
      <c r="M11" s="111"/>
      <c r="N11" s="111"/>
      <c r="O11" s="71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106322.07</v>
      </c>
      <c r="K12" s="111"/>
      <c r="L12" s="177"/>
      <c r="M12" s="111"/>
      <c r="N12" s="111"/>
      <c r="O12" s="71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73712.34</v>
      </c>
      <c r="K13" s="111"/>
      <c r="L13" s="177"/>
      <c r="M13" s="111"/>
      <c r="N13" s="111"/>
      <c r="O13" s="71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69180.899999999994</v>
      </c>
      <c r="K14" s="111"/>
      <c r="L14" s="177"/>
      <c r="M14" s="111"/>
      <c r="N14" s="111"/>
      <c r="O14" s="71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270200.53999999998</v>
      </c>
      <c r="K15" s="111"/>
      <c r="L15" s="177"/>
      <c r="M15" s="111"/>
      <c r="N15" s="111"/>
      <c r="O15" s="71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270200.53999999998</v>
      </c>
      <c r="K16" s="111"/>
      <c r="L16" s="177"/>
      <c r="M16" s="111"/>
      <c r="N16" s="111"/>
      <c r="O16" s="71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1"/>
      <c r="L17" s="177"/>
      <c r="M17" s="111"/>
      <c r="N17" s="111"/>
      <c r="O17" s="71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1"/>
      <c r="L18" s="177"/>
      <c r="M18" s="111"/>
      <c r="N18" s="111"/>
      <c r="O18" s="71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1"/>
      <c r="L19" s="177"/>
      <c r="M19" s="111"/>
      <c r="N19" s="111"/>
      <c r="O19" s="71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1"/>
      <c r="L20" s="177"/>
      <c r="M20" s="111"/>
      <c r="N20" s="111"/>
      <c r="O20" s="71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270200.53999999998</v>
      </c>
      <c r="K21" s="111"/>
      <c r="L21" s="177"/>
      <c r="M21" s="111"/>
      <c r="N21" s="111"/>
      <c r="O21" s="71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1"/>
      <c r="L22" s="177"/>
      <c r="M22" s="111"/>
      <c r="N22" s="111"/>
      <c r="O22" s="71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1"/>
      <c r="L23" s="177"/>
      <c r="M23" s="111"/>
      <c r="N23" s="111"/>
      <c r="O23" s="71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90594.22000000003</v>
      </c>
      <c r="K24" s="111"/>
      <c r="L24" s="177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11"/>
      <c r="L27" s="17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6">
        <f>VLOOKUP(A28,ПТО!$A$39:$D$53,2,FALSE)</f>
        <v>22181.279999999999</v>
      </c>
      <c r="G28" s="166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11"/>
      <c r="L28" s="17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1">
        <f>ПТО!A40</f>
        <v>0</v>
      </c>
      <c r="B29" s="161"/>
      <c r="C29" s="161"/>
      <c r="D29" s="161"/>
      <c r="E29" s="161"/>
      <c r="F29" s="166" t="e">
        <f>VLOOKUP(A29,ПТО!$A$39:$D$53,2,FALSE)</f>
        <v>#N/A</v>
      </c>
      <c r="G29" s="166"/>
      <c r="H29" s="42" t="e">
        <f>VLOOKUP(A29,ПТО!$A$39:$D$53,3,FALSE)</f>
        <v>#N/A</v>
      </c>
      <c r="I29" s="162" t="e">
        <f>VLOOKUP(A29,ПТО!$A$39:$D$53,4,FALSE)</f>
        <v>#N/A</v>
      </c>
      <c r="J29" s="162"/>
      <c r="K29" s="111"/>
      <c r="L29" s="178"/>
      <c r="M29" s="111"/>
      <c r="N29" s="111"/>
      <c r="O29" s="23">
        <f t="shared" si="1"/>
        <v>0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6">
        <f>VLOOKUP(A30,ПТО!$A$39:$D$53,2,FALSE)</f>
        <v>28673.399999999998</v>
      </c>
      <c r="G30" s="166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11"/>
      <c r="L30" s="178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6">
        <f>VLOOKUP(A31,ПТО!$A$39:$D$53,2,FALSE)</f>
        <v>15959.76</v>
      </c>
      <c r="G31" s="166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11"/>
      <c r="L31" s="17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11"/>
      <c r="L32" s="178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6">
        <f>VLOOKUP(A33,ПТО!$A$39:$D$53,2,FALSE)</f>
        <v>6762.6</v>
      </c>
      <c r="G33" s="166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11"/>
      <c r="L33" s="17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6">
        <f>VLOOKUP(A34,ПТО!$A$39:$D$53,2,FALSE)</f>
        <v>30296.399999999998</v>
      </c>
      <c r="G34" s="166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11"/>
      <c r="L34" s="17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Коммунальные ресурсы на содержание общего имущества</v>
      </c>
      <c r="B35" s="161"/>
      <c r="C35" s="161"/>
      <c r="D35" s="161"/>
      <c r="E35" s="161"/>
      <c r="F35" s="166">
        <f>VLOOKUP(A35,ПТО!$A$39:$D$53,2,FALSE)</f>
        <v>24118.311600000001</v>
      </c>
      <c r="G35" s="166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11"/>
      <c r="L35" s="178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61">
        <f>ПТО!A47</f>
        <v>0</v>
      </c>
      <c r="B36" s="161"/>
      <c r="C36" s="161"/>
      <c r="D36" s="161"/>
      <c r="E36" s="161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2" t="e">
        <f>VLOOKUP(A36,ПТО!$A$39:$D$53,4,FALSE)</f>
        <v>#N/A</v>
      </c>
      <c r="J36" s="162"/>
      <c r="K36" s="111"/>
      <c r="L36" s="178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11"/>
      <c r="L37" s="178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11"/>
      <c r="L38" s="178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11"/>
      <c r="L39" s="178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11"/>
      <c r="L40" s="178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11"/>
      <c r="L41" s="178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11"/>
      <c r="L42" s="178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>Техническое обслуживание охранной сигнализации.</v>
      </c>
      <c r="B43" s="161"/>
      <c r="C43" s="161"/>
      <c r="D43" s="161"/>
      <c r="E43" s="161"/>
      <c r="F43" s="166">
        <f>VLOOKUP(A43,ПТО!$A$2:$D$31,4,FALSE)</f>
        <v>5400</v>
      </c>
      <c r="G43" s="166"/>
      <c r="H43" s="19" t="str">
        <f>VLOOKUP(A43,ПТО!$A$2:$D$31,2,FALSE)</f>
        <v>ежемесячно</v>
      </c>
      <c r="I43" s="162">
        <f>VLOOKUP(A43,ПТО!$A$2:$D$31,3,FALSE)</f>
        <v>12</v>
      </c>
      <c r="J43" s="162"/>
      <c r="K43" s="111"/>
      <c r="L43" s="178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1" t="str">
        <f>ПТО!A3</f>
        <v>Аварийный ремонт теплообменника отопления.</v>
      </c>
      <c r="B44" s="161"/>
      <c r="C44" s="161"/>
      <c r="D44" s="161"/>
      <c r="E44" s="161"/>
      <c r="F44" s="166">
        <f>VLOOKUP(A44,ПТО!$A$2:$D$31,4,FALSE)</f>
        <v>1700</v>
      </c>
      <c r="G44" s="166"/>
      <c r="H44" s="25" t="str">
        <f>VLOOKUP(A44,ПТО!$A$2:$D$31,2,FALSE)</f>
        <v>разово</v>
      </c>
      <c r="I44" s="162">
        <f>VLOOKUP(A44,ПТО!$A$2:$D$31,3,FALSE)</f>
        <v>1</v>
      </c>
      <c r="J44" s="162"/>
      <c r="K44" s="111"/>
      <c r="L44" s="178"/>
      <c r="M44" s="118"/>
      <c r="N44" s="111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61" t="str">
        <f>ПТО!A4</f>
        <v>Приобретение и установка датчика движения.</v>
      </c>
      <c r="B45" s="161"/>
      <c r="C45" s="161"/>
      <c r="D45" s="161"/>
      <c r="E45" s="161"/>
      <c r="F45" s="166">
        <f>VLOOKUP(A45,ПТО!$A$2:$D$31,4,FALSE)</f>
        <v>600</v>
      </c>
      <c r="G45" s="166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11"/>
      <c r="L45" s="178"/>
      <c r="M45" s="118"/>
      <c r="N45" s="111"/>
      <c r="O45" s="23" t="str">
        <f t="shared" si="1"/>
        <v>Приобретение и установка датчика движения.</v>
      </c>
      <c r="R45" s="22" t="s">
        <v>72</v>
      </c>
    </row>
    <row r="46" spans="1:18" ht="51" customHeight="1" outlineLevel="1">
      <c r="A46" s="161" t="str">
        <f>ПТО!A5</f>
        <v>Замена аккумулятора охранной сигнализации.</v>
      </c>
      <c r="B46" s="161"/>
      <c r="C46" s="161"/>
      <c r="D46" s="161"/>
      <c r="E46" s="161"/>
      <c r="F46" s="166">
        <f>VLOOKUP(A46,ПТО!$A$2:$D$31,4,FALSE)</f>
        <v>300</v>
      </c>
      <c r="G46" s="166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11"/>
      <c r="L46" s="178"/>
      <c r="M46" s="118"/>
      <c r="N46" s="111"/>
      <c r="O46" s="23" t="str">
        <f t="shared" si="1"/>
        <v>Замена аккумулятора охранной сигнализации.</v>
      </c>
      <c r="R46" s="22" t="s">
        <v>72</v>
      </c>
    </row>
    <row r="47" spans="1:18" ht="51" customHeight="1" outlineLevel="1">
      <c r="A47" s="161" t="str">
        <f>ПТО!A6</f>
        <v>Приобретение и установка информационного стенда на детскую площадку.</v>
      </c>
      <c r="B47" s="161"/>
      <c r="C47" s="161"/>
      <c r="D47" s="161"/>
      <c r="E47" s="161"/>
      <c r="F47" s="166">
        <f>VLOOKUP(A47,ПТО!$A$2:$D$31,4,FALSE)</f>
        <v>542.4</v>
      </c>
      <c r="G47" s="166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11"/>
      <c r="L47" s="178"/>
      <c r="M47" s="118"/>
      <c r="N47" s="111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61" t="str">
        <f>ПТО!A7</f>
        <v>Приобретение и установка профлиста на приямки.</v>
      </c>
      <c r="B48" s="161"/>
      <c r="C48" s="161"/>
      <c r="D48" s="161"/>
      <c r="E48" s="161"/>
      <c r="F48" s="166">
        <f>VLOOKUP(A48,ПТО!$A$2:$D$31,4,FALSE)</f>
        <v>11739</v>
      </c>
      <c r="G48" s="166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11"/>
      <c r="L48" s="178"/>
      <c r="M48" s="118"/>
      <c r="N48" s="111"/>
      <c r="O48" s="23" t="str">
        <f t="shared" si="1"/>
        <v>Приобретение и установка профлиста на приямки.</v>
      </c>
      <c r="R48" s="22" t="s">
        <v>72</v>
      </c>
    </row>
    <row r="49" spans="1:18" ht="51" customHeight="1" outlineLevel="1">
      <c r="A49" s="161" t="str">
        <f>ПТО!A8</f>
        <v>Ремонт погодоведомого оборудования.</v>
      </c>
      <c r="B49" s="161"/>
      <c r="C49" s="161"/>
      <c r="D49" s="161"/>
      <c r="E49" s="161"/>
      <c r="F49" s="166">
        <f>VLOOKUP(A49,ПТО!$A$2:$D$31,4,FALSE)</f>
        <v>1681.5</v>
      </c>
      <c r="G49" s="166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11"/>
      <c r="L49" s="178"/>
      <c r="M49" s="118"/>
      <c r="N49" s="111"/>
      <c r="O49" s="23" t="str">
        <f t="shared" si="1"/>
        <v>Ремонт погодоведомого оборудования.</v>
      </c>
      <c r="R49" s="22" t="s">
        <v>72</v>
      </c>
    </row>
    <row r="50" spans="1:18" ht="51" customHeight="1" outlineLevel="1">
      <c r="A50" s="161" t="str">
        <f>ПТО!A9</f>
        <v>Перерасчет по итогам 2021 года.</v>
      </c>
      <c r="B50" s="161"/>
      <c r="C50" s="161"/>
      <c r="D50" s="161"/>
      <c r="E50" s="161"/>
      <c r="F50" s="166">
        <f>VLOOKUP(A50,ПТО!$A$2:$D$31,4,FALSE)</f>
        <v>92979.76</v>
      </c>
      <c r="G50" s="166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11"/>
      <c r="L50" s="178"/>
      <c r="M50" s="118"/>
      <c r="N50" s="111"/>
      <c r="O50" s="23" t="str">
        <f t="shared" si="1"/>
        <v>Перерасчет по итогам 2021 года.</v>
      </c>
      <c r="R50" s="22" t="s">
        <v>72</v>
      </c>
    </row>
    <row r="51" spans="1:18" ht="51" hidden="1" customHeight="1" outlineLevel="1">
      <c r="A51" s="161">
        <f>ПТО!A10</f>
        <v>0</v>
      </c>
      <c r="B51" s="161"/>
      <c r="C51" s="161"/>
      <c r="D51" s="161"/>
      <c r="E51" s="161"/>
      <c r="F51" s="166" t="e">
        <f>VLOOKUP(A51,ПТО!$A$2:$D$31,4,FALSE)</f>
        <v>#N/A</v>
      </c>
      <c r="G51" s="166"/>
      <c r="H51" s="25" t="e">
        <f>VLOOKUP(A51,ПТО!$A$2:$D$31,2,FALSE)</f>
        <v>#N/A</v>
      </c>
      <c r="I51" s="162" t="e">
        <f>VLOOKUP(A51,ПТО!$A$2:$D$31,3,FALSE)</f>
        <v>#N/A</v>
      </c>
      <c r="J51" s="162"/>
      <c r="K51" s="111"/>
      <c r="L51" s="178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61">
        <f>ПТО!A11</f>
        <v>0</v>
      </c>
      <c r="B52" s="161"/>
      <c r="C52" s="161"/>
      <c r="D52" s="161"/>
      <c r="E52" s="161"/>
      <c r="F52" s="166" t="e">
        <f>VLOOKUP(A52,ПТО!$A$2:$D$31,4,FALSE)</f>
        <v>#N/A</v>
      </c>
      <c r="G52" s="166"/>
      <c r="H52" s="25" t="e">
        <f>VLOOKUP(A52,ПТО!$A$2:$D$31,2,FALSE)</f>
        <v>#N/A</v>
      </c>
      <c r="I52" s="162" t="e">
        <f>VLOOKUP(A52,ПТО!$A$2:$D$31,3,FALSE)</f>
        <v>#N/A</v>
      </c>
      <c r="J52" s="162"/>
      <c r="K52" s="111"/>
      <c r="L52" s="178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61">
        <f>ПТО!A12</f>
        <v>0</v>
      </c>
      <c r="B53" s="161"/>
      <c r="C53" s="161"/>
      <c r="D53" s="161"/>
      <c r="E53" s="161"/>
      <c r="F53" s="166" t="e">
        <f>VLOOKUP(A53,ПТО!$A$2:$D$31,4,FALSE)</f>
        <v>#N/A</v>
      </c>
      <c r="G53" s="166"/>
      <c r="H53" s="25" t="e">
        <f>VLOOKUP(A53,ПТО!$A$2:$D$31,2,FALSE)</f>
        <v>#N/A</v>
      </c>
      <c r="I53" s="162" t="e">
        <f>VLOOKUP(A53,ПТО!$A$2:$D$31,3,FALSE)</f>
        <v>#N/A</v>
      </c>
      <c r="J53" s="162"/>
      <c r="K53" s="111"/>
      <c r="L53" s="178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61">
        <f>ПТО!A13</f>
        <v>0</v>
      </c>
      <c r="B54" s="161"/>
      <c r="C54" s="161"/>
      <c r="D54" s="161"/>
      <c r="E54" s="161"/>
      <c r="F54" s="166" t="e">
        <f>VLOOKUP(A54,ПТО!$A$2:$D$31,4,FALSE)</f>
        <v>#N/A</v>
      </c>
      <c r="G54" s="166"/>
      <c r="H54" s="25" t="e">
        <f>VLOOKUP(A54,ПТО!$A$2:$D$31,2,FALSE)</f>
        <v>#N/A</v>
      </c>
      <c r="I54" s="162" t="e">
        <f>VLOOKUP(A54,ПТО!$A$2:$D$31,3,FALSE)</f>
        <v>#N/A</v>
      </c>
      <c r="J54" s="162"/>
      <c r="K54" s="111"/>
      <c r="L54" s="178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61">
        <f>ПТО!A14</f>
        <v>0</v>
      </c>
      <c r="B55" s="161"/>
      <c r="C55" s="161"/>
      <c r="D55" s="161"/>
      <c r="E55" s="161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11"/>
      <c r="L55" s="178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61">
        <f>ПТО!A15</f>
        <v>0</v>
      </c>
      <c r="B56" s="161"/>
      <c r="C56" s="161"/>
      <c r="D56" s="161"/>
      <c r="E56" s="161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11"/>
      <c r="L56" s="178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11"/>
      <c r="L57" s="178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11"/>
      <c r="L58" s="178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11"/>
      <c r="L59" s="178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11"/>
      <c r="L60" s="178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11"/>
      <c r="L61" s="178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11"/>
      <c r="L62" s="178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11"/>
      <c r="L63" s="178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11"/>
      <c r="L64" s="178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11"/>
      <c r="L65" s="178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11"/>
      <c r="L66" s="178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11"/>
      <c r="L67" s="178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11"/>
      <c r="L68" s="178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11"/>
      <c r="L69" s="178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11"/>
      <c r="L70" s="178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8"/>
      <c r="L71" s="178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11"/>
      <c r="L72" s="178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11"/>
      <c r="L75" s="181"/>
      <c r="M75" s="111"/>
      <c r="N75" s="111"/>
      <c r="O75" s="71" t="s">
        <v>98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11"/>
      <c r="L76" s="181"/>
      <c r="M76" s="111"/>
      <c r="N76" s="111"/>
      <c r="O76" s="71" t="s">
        <v>99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11"/>
      <c r="L77" s="181"/>
      <c r="M77" s="111"/>
      <c r="N77" s="111"/>
      <c r="O77" s="71" t="s">
        <v>100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8">
        <f>VLOOKUP(O78,АО,3,FALSE)</f>
        <v>0</v>
      </c>
      <c r="K78" s="111"/>
      <c r="L78" s="181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8">
        <f t="shared" ref="J81:J90" si="2">VLOOKUP(O81,АО,3,FALSE)</f>
        <v>0</v>
      </c>
      <c r="K81" s="111"/>
      <c r="L81" s="167"/>
      <c r="M81" s="111"/>
      <c r="N81" s="111"/>
      <c r="O81" s="71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8">
        <f t="shared" si="2"/>
        <v>0</v>
      </c>
      <c r="K82" s="111"/>
      <c r="L82" s="167"/>
      <c r="M82" s="111"/>
      <c r="N82" s="111"/>
      <c r="O82" s="71" t="s">
        <v>103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8">
        <f t="shared" si="2"/>
        <v>85011.26</v>
      </c>
      <c r="K83" s="111"/>
      <c r="L83" s="167"/>
      <c r="M83" s="111"/>
      <c r="N83" s="111"/>
      <c r="O83" s="71" t="s">
        <v>104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8">
        <f t="shared" si="2"/>
        <v>0</v>
      </c>
      <c r="K84" s="111"/>
      <c r="L84" s="167"/>
      <c r="M84" s="111"/>
      <c r="N84" s="111"/>
      <c r="O84" s="71" t="s">
        <v>105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8">
        <f t="shared" si="2"/>
        <v>0</v>
      </c>
      <c r="K85" s="111"/>
      <c r="L85" s="167"/>
      <c r="M85" s="111"/>
      <c r="N85" s="111"/>
      <c r="O85" s="71" t="s">
        <v>106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8">
        <f t="shared" si="2"/>
        <v>68568.479999999996</v>
      </c>
      <c r="K86" s="111"/>
      <c r="L86" s="167"/>
      <c r="M86" s="111"/>
      <c r="N86" s="111"/>
      <c r="O86" s="71" t="s">
        <v>107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11"/>
      <c r="L87" s="167"/>
      <c r="M87" s="111"/>
      <c r="N87" s="111"/>
      <c r="O87" s="71" t="s">
        <v>108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11"/>
      <c r="L88" s="167"/>
      <c r="M88" s="111"/>
      <c r="N88" s="111"/>
      <c r="O88" s="71" t="s">
        <v>109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11"/>
      <c r="L89" s="167"/>
      <c r="M89" s="111"/>
      <c r="N89" s="111"/>
      <c r="O89" s="71" t="s">
        <v>110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8">
        <f t="shared" si="2"/>
        <v>0</v>
      </c>
      <c r="K90" s="111"/>
      <c r="L90" s="167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82" t="s">
        <v>48</v>
      </c>
      <c r="B93" s="182"/>
      <c r="C93" s="182"/>
      <c r="D93" s="183" t="s">
        <v>49</v>
      </c>
      <c r="E93" s="183"/>
      <c r="F93" s="10" t="s">
        <v>50</v>
      </c>
      <c r="G93" s="182" t="s">
        <v>51</v>
      </c>
      <c r="H93" s="182"/>
      <c r="I93" s="182"/>
      <c r="J93" s="182"/>
      <c r="K93" s="111"/>
      <c r="L93" s="111"/>
      <c r="M93" s="111"/>
      <c r="N93" s="111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5">
        <f>VLOOKUP("эл",АО,5,FALSE)</f>
        <v>21599.89</v>
      </c>
      <c r="H94" s="164"/>
      <c r="I94" s="164"/>
      <c r="J94" s="164"/>
      <c r="K94" s="1" t="str">
        <f>VLOOKUP("эл",АО,2,FALSE)</f>
        <v>Электроснабжение</v>
      </c>
      <c r="L94" s="168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17999.91</v>
      </c>
      <c r="L95" s="168"/>
      <c r="O95" s="1" t="s">
        <v>112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22118.95</v>
      </c>
      <c r="L96" s="168"/>
      <c r="O96" s="1" t="s">
        <v>113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0</v>
      </c>
      <c r="L97" s="168"/>
      <c r="O97" s="1" t="s">
        <v>114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21599.89</v>
      </c>
      <c r="L98" s="168"/>
      <c r="O98" s="1" t="s">
        <v>115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21599.89</v>
      </c>
      <c r="L99" s="168"/>
      <c r="O99" s="1" t="s">
        <v>116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68"/>
      <c r="O100" s="1" t="s">
        <v>117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68"/>
      <c r="O101" s="1" t="s">
        <v>118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5">
        <f>VLOOKUP("хвс",АО,5,FALSE)</f>
        <v>51073.58</v>
      </c>
      <c r="H102" s="164"/>
      <c r="I102" s="164"/>
      <c r="J102" s="164"/>
      <c r="L102" s="168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3869.21</v>
      </c>
      <c r="L103" s="168"/>
      <c r="O103" s="1" t="s">
        <v>121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55637.68</v>
      </c>
      <c r="L104" s="168"/>
      <c r="O104" s="1" t="s">
        <v>122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68"/>
      <c r="O105" s="1" t="s">
        <v>123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51073.58</v>
      </c>
      <c r="L106" s="168"/>
      <c r="O106" s="1" t="s">
        <v>124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51073.58</v>
      </c>
      <c r="L107" s="168"/>
      <c r="O107" s="1" t="s">
        <v>125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68"/>
      <c r="O108" s="1" t="s">
        <v>126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68"/>
      <c r="O109" s="1" t="s">
        <v>127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5">
        <f>VLOOKUP("воо",АО,5,FALSE)</f>
        <v>105907.26</v>
      </c>
      <c r="H110" s="164"/>
      <c r="I110" s="164"/>
      <c r="J110" s="164"/>
      <c r="L110" s="168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6602.7</v>
      </c>
      <c r="L111" s="168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113615.98</v>
      </c>
      <c r="L112" s="168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8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105907.26</v>
      </c>
      <c r="L114" s="168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105907.26</v>
      </c>
      <c r="L115" s="168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8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8"/>
      <c r="O117" s="1" t="s">
        <v>135</v>
      </c>
    </row>
    <row r="118" spans="1:15" ht="32.25" hidden="1" customHeight="1" outlineLevel="1">
      <c r="A118" s="163">
        <f>IF(VLOOKUP("тко",АО,3,FALSE)&gt;0,"Обращение с ТКО",0)</f>
        <v>0</v>
      </c>
      <c r="B118" s="163"/>
      <c r="C118" s="163"/>
      <c r="D118" s="164">
        <f>IF(VLOOKUP("тко",АО,3,FALSE)&gt;0,VLOOKUP("тко",АО,3,FALSE),0)</f>
        <v>0</v>
      </c>
      <c r="E118" s="164"/>
      <c r="F118" s="13">
        <f>IF(VLOOKUP("тко",АО,3,FALSE)&gt;0,VLOOKUP("тко",АО,4,FALSE),0)</f>
        <v>0</v>
      </c>
      <c r="G118" s="165">
        <f>VLOOKUP("тко",АО,5,FALSE)</f>
        <v>0</v>
      </c>
      <c r="H118" s="164"/>
      <c r="I118" s="164"/>
      <c r="J118" s="164"/>
      <c r="L118" s="48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63" t="str">
        <f>IF(VLOOKUP("гвс",АО,3,FALSE)&gt;0,"Горячее водоснабжение",0)</f>
        <v>Горячее водоснабжение</v>
      </c>
      <c r="B126" s="163"/>
      <c r="C126" s="163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5">
        <f>VLOOKUP("гвс",АО,5,FALSE)</f>
        <v>36014.81</v>
      </c>
      <c r="H126" s="164"/>
      <c r="I126" s="164"/>
      <c r="J126" s="164"/>
      <c r="L126" s="48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2728.39</v>
      </c>
      <c r="L127" s="48"/>
      <c r="O127" s="1" t="s">
        <v>145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39665.71</v>
      </c>
      <c r="L128" s="48"/>
      <c r="O128" s="1" t="s">
        <v>146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36014.81</v>
      </c>
      <c r="L130" s="48"/>
      <c r="O130" s="1" t="s">
        <v>148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36014.81</v>
      </c>
      <c r="L131" s="48"/>
      <c r="O131" s="1" t="s">
        <v>149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5">
        <f>VLOOKUP("отопление",АО,5,FALSE)</f>
        <v>0</v>
      </c>
      <c r="H134" s="164"/>
      <c r="I134" s="164"/>
      <c r="J134" s="164"/>
      <c r="L134" s="48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49181.43</v>
      </c>
      <c r="O146" t="s">
        <v>171</v>
      </c>
    </row>
    <row r="149" spans="1:15" ht="52.5" customHeight="1">
      <c r="A149" s="184" t="s">
        <v>179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6" t="s">
        <v>180</v>
      </c>
      <c r="B154" s="186"/>
      <c r="C154" s="186"/>
      <c r="D154" s="186"/>
      <c r="E154" s="27">
        <f>ПТО!G1</f>
        <v>-41230.32</v>
      </c>
    </row>
    <row r="155" spans="1:15" ht="34.5" customHeight="1">
      <c r="A155" s="185" t="s">
        <v>184</v>
      </c>
      <c r="B155" s="185"/>
      <c r="C155" s="185"/>
      <c r="D155" s="185"/>
      <c r="E155" s="28">
        <f>J13</f>
        <v>73712.34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1" t="str">
        <f t="shared" ref="A158:A163" si="14">IF(N158&gt;0,N158,0)</f>
        <v>Техническое обслуживание охранной сигнализации.</v>
      </c>
      <c r="B158" s="161"/>
      <c r="C158" s="161"/>
      <c r="D158" s="161"/>
      <c r="E158" s="161"/>
      <c r="F158" s="166">
        <f t="shared" ref="F158:F163" si="15">IF(ISERROR(VLOOKUP(A158,$A$28:$J$72,6,FALSE)),0,VLOOKUP(A158,$A$28:$J$72,6,FALSE))</f>
        <v>5400</v>
      </c>
      <c r="G158" s="166"/>
      <c r="H158" s="24" t="str">
        <f t="shared" ref="H158:H187" si="16">VLOOKUP(A158,$A$28:$J$72,8,FALSE)</f>
        <v>ежемесячно</v>
      </c>
      <c r="I158" s="162">
        <f t="shared" ref="I158:I161" si="17">VLOOKUP(A158,$A$28:$J$72,9,FALSE)</f>
        <v>12</v>
      </c>
      <c r="J158" s="16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1" t="str">
        <f t="shared" si="14"/>
        <v>Аварийный ремонт теплообменника отопления.</v>
      </c>
      <c r="B159" s="161"/>
      <c r="C159" s="161"/>
      <c r="D159" s="161"/>
      <c r="E159" s="161"/>
      <c r="F159" s="166">
        <f t="shared" si="15"/>
        <v>1700</v>
      </c>
      <c r="G159" s="166"/>
      <c r="H159" s="24" t="str">
        <f t="shared" si="16"/>
        <v>разово</v>
      </c>
      <c r="I159" s="162">
        <f t="shared" si="17"/>
        <v>1</v>
      </c>
      <c r="J159" s="162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61" t="str">
        <f t="shared" si="14"/>
        <v>Приобретение и установка датчика движения.</v>
      </c>
      <c r="B160" s="161"/>
      <c r="C160" s="161"/>
      <c r="D160" s="161"/>
      <c r="E160" s="161"/>
      <c r="F160" s="166">
        <f t="shared" si="15"/>
        <v>600</v>
      </c>
      <c r="G160" s="166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Приобретение и установка датчика движения.</v>
      </c>
    </row>
    <row r="161" spans="1:14" ht="28.5" customHeight="1">
      <c r="A161" s="161" t="str">
        <f>IF(N161&gt;0,N161,0)</f>
        <v>Замена аккумулятора охранной сигнализации.</v>
      </c>
      <c r="B161" s="161"/>
      <c r="C161" s="161"/>
      <c r="D161" s="161"/>
      <c r="E161" s="161"/>
      <c r="F161" s="166">
        <f t="shared" si="15"/>
        <v>300</v>
      </c>
      <c r="G161" s="166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Замена аккумулятора охранной сигнализации.</v>
      </c>
    </row>
    <row r="162" spans="1:14" ht="28.5" customHeight="1">
      <c r="A162" s="161" t="str">
        <f t="shared" si="14"/>
        <v>Приобретение и установка информационного стенда на детскую площадку.</v>
      </c>
      <c r="B162" s="161"/>
      <c r="C162" s="161"/>
      <c r="D162" s="161"/>
      <c r="E162" s="161"/>
      <c r="F162" s="166">
        <f t="shared" si="15"/>
        <v>542.4</v>
      </c>
      <c r="G162" s="166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61" t="str">
        <f t="shared" si="14"/>
        <v>Приобретение и установка профлиста на приямки.</v>
      </c>
      <c r="B163" s="161"/>
      <c r="C163" s="161"/>
      <c r="D163" s="161"/>
      <c r="E163" s="161"/>
      <c r="F163" s="166">
        <f t="shared" si="15"/>
        <v>11739</v>
      </c>
      <c r="G163" s="166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Приобретение и установка профлиста на приямки.</v>
      </c>
    </row>
    <row r="164" spans="1:14" ht="28.5" customHeight="1">
      <c r="A164" s="161" t="str">
        <f t="shared" ref="A164:A187" si="18">IF(N164&gt;0,N164,0)</f>
        <v>Ремонт погодоведомого оборудования.</v>
      </c>
      <c r="B164" s="161"/>
      <c r="C164" s="161"/>
      <c r="D164" s="161"/>
      <c r="E164" s="161"/>
      <c r="F164" s="166">
        <f t="shared" ref="F164:F187" si="19">IF(ISERROR(VLOOKUP(A164,$A$28:$J$72,6,FALSE)),0,VLOOKUP(A164,$A$28:$J$72,6,FALSE))</f>
        <v>1681.5</v>
      </c>
      <c r="G164" s="166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Ремонт погодоведомого оборудования.</v>
      </c>
    </row>
    <row r="165" spans="1:14" ht="28.5" customHeight="1">
      <c r="A165" s="161" t="str">
        <f t="shared" si="18"/>
        <v>Перерасчет по итогам 2021 года.</v>
      </c>
      <c r="B165" s="161"/>
      <c r="C165" s="161"/>
      <c r="D165" s="161"/>
      <c r="E165" s="161"/>
      <c r="F165" s="166">
        <f t="shared" si="19"/>
        <v>92979.76</v>
      </c>
      <c r="G165" s="166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Перерасчет по итогам 2021 года.</v>
      </c>
    </row>
    <row r="166" spans="1:14" ht="28.5" hidden="1" customHeight="1">
      <c r="A166" s="161">
        <f t="shared" si="18"/>
        <v>0</v>
      </c>
      <c r="B166" s="161"/>
      <c r="C166" s="161"/>
      <c r="D166" s="161"/>
      <c r="E166" s="161"/>
      <c r="F166" s="166">
        <f t="shared" si="19"/>
        <v>0</v>
      </c>
      <c r="G166" s="166"/>
      <c r="H166" s="29" t="e">
        <f t="shared" si="16"/>
        <v>#N/A</v>
      </c>
      <c r="I166" s="162" t="e">
        <f t="shared" si="20"/>
        <v>#N/A</v>
      </c>
      <c r="J166" s="162"/>
      <c r="M166" s="22" t="s">
        <v>72</v>
      </c>
      <c r="N166" s="1">
        <v>0</v>
      </c>
    </row>
    <row r="167" spans="1:14" ht="28.5" hidden="1" customHeight="1">
      <c r="A167" s="161">
        <f t="shared" si="18"/>
        <v>0</v>
      </c>
      <c r="B167" s="161"/>
      <c r="C167" s="161"/>
      <c r="D167" s="161"/>
      <c r="E167" s="161"/>
      <c r="F167" s="166">
        <f t="shared" si="19"/>
        <v>0</v>
      </c>
      <c r="G167" s="166"/>
      <c r="H167" s="29" t="e">
        <f t="shared" si="16"/>
        <v>#N/A</v>
      </c>
      <c r="I167" s="162" t="e">
        <f t="shared" si="20"/>
        <v>#N/A</v>
      </c>
      <c r="J167" s="162"/>
      <c r="M167" s="22" t="s">
        <v>72</v>
      </c>
      <c r="N167" s="1">
        <v>0</v>
      </c>
    </row>
    <row r="168" spans="1:14" ht="28.5" hidden="1" customHeight="1">
      <c r="A168" s="161">
        <f t="shared" si="18"/>
        <v>0</v>
      </c>
      <c r="B168" s="161"/>
      <c r="C168" s="161"/>
      <c r="D168" s="161"/>
      <c r="E168" s="161"/>
      <c r="F168" s="166">
        <f t="shared" si="19"/>
        <v>0</v>
      </c>
      <c r="G168" s="166"/>
      <c r="H168" s="29" t="e">
        <f t="shared" si="16"/>
        <v>#N/A</v>
      </c>
      <c r="I168" s="162" t="e">
        <f t="shared" si="20"/>
        <v>#N/A</v>
      </c>
      <c r="J168" s="162"/>
      <c r="M168" s="22" t="s">
        <v>72</v>
      </c>
      <c r="N168" s="1">
        <v>0</v>
      </c>
    </row>
    <row r="169" spans="1:14" ht="28.5" hidden="1" customHeight="1">
      <c r="A169" s="161">
        <f t="shared" si="18"/>
        <v>0</v>
      </c>
      <c r="B169" s="161"/>
      <c r="C169" s="161"/>
      <c r="D169" s="161"/>
      <c r="E169" s="161"/>
      <c r="F169" s="166">
        <f t="shared" si="19"/>
        <v>0</v>
      </c>
      <c r="G169" s="166"/>
      <c r="H169" s="29" t="e">
        <f t="shared" si="16"/>
        <v>#N/A</v>
      </c>
      <c r="I169" s="162" t="e">
        <f t="shared" si="20"/>
        <v>#N/A</v>
      </c>
      <c r="J169" s="162"/>
      <c r="M169" s="22" t="s">
        <v>72</v>
      </c>
      <c r="N169" s="1">
        <v>0</v>
      </c>
    </row>
    <row r="170" spans="1:14" ht="28.5" hidden="1" customHeight="1">
      <c r="A170" s="161">
        <f t="shared" si="18"/>
        <v>0</v>
      </c>
      <c r="B170" s="161"/>
      <c r="C170" s="161"/>
      <c r="D170" s="161"/>
      <c r="E170" s="161"/>
      <c r="F170" s="166">
        <f t="shared" si="19"/>
        <v>0</v>
      </c>
      <c r="G170" s="166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1">
        <f t="shared" si="18"/>
        <v>0</v>
      </c>
      <c r="B171" s="161"/>
      <c r="C171" s="161"/>
      <c r="D171" s="161"/>
      <c r="E171" s="161"/>
      <c r="F171" s="166">
        <f t="shared" si="19"/>
        <v>0</v>
      </c>
      <c r="G171" s="166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6">
        <f t="shared" si="19"/>
        <v>0</v>
      </c>
      <c r="G172" s="166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6">
        <f t="shared" si="19"/>
        <v>0</v>
      </c>
      <c r="G173" s="166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6">
        <f t="shared" si="19"/>
        <v>0</v>
      </c>
      <c r="G174" s="166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6">
        <f t="shared" si="19"/>
        <v>0</v>
      </c>
      <c r="G175" s="166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6">
        <f t="shared" si="19"/>
        <v>0</v>
      </c>
      <c r="G176" s="166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6">
        <f t="shared" si="19"/>
        <v>0</v>
      </c>
      <c r="G177" s="166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6">
        <f t="shared" si="19"/>
        <v>0</v>
      </c>
      <c r="G178" s="166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6">
        <f t="shared" si="19"/>
        <v>0</v>
      </c>
      <c r="G179" s="166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6">
        <f t="shared" si="19"/>
        <v>0</v>
      </c>
      <c r="G180" s="166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6">
        <f t="shared" si="19"/>
        <v>0</v>
      </c>
      <c r="G181" s="166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6">
        <f t="shared" si="19"/>
        <v>0</v>
      </c>
      <c r="G182" s="166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6">
        <f t="shared" si="19"/>
        <v>0</v>
      </c>
      <c r="G183" s="166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6">
        <f t="shared" si="19"/>
        <v>0</v>
      </c>
      <c r="G184" s="166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6">
        <f t="shared" si="19"/>
        <v>0</v>
      </c>
      <c r="G185" s="166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6">
        <f t="shared" si="19"/>
        <v>0</v>
      </c>
      <c r="G186" s="166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6">
        <f t="shared" si="19"/>
        <v>0</v>
      </c>
      <c r="G187" s="166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86" t="s">
        <v>183</v>
      </c>
      <c r="B190" s="186"/>
      <c r="C190" s="186"/>
      <c r="D190" s="186"/>
      <c r="E190" s="27">
        <f>SUM(F158:G187)</f>
        <v>114942.66</v>
      </c>
    </row>
    <row r="191" spans="1:14" ht="51.75" customHeight="1">
      <c r="A191" s="186" t="s">
        <v>182</v>
      </c>
      <c r="B191" s="186"/>
      <c r="C191" s="186"/>
      <c r="D191" s="186"/>
      <c r="E191" s="27">
        <f>E190+E154-E155</f>
        <v>0</v>
      </c>
    </row>
    <row r="192" spans="1:14">
      <c r="A192" s="106" t="s">
        <v>173</v>
      </c>
    </row>
    <row r="193" spans="1:10" ht="62.25" customHeight="1">
      <c r="A193" s="160" t="s">
        <v>181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0">
        <f>ПТО!G12</f>
        <v>1200</v>
      </c>
      <c r="I194" s="51" t="s">
        <v>74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0">
        <f>ПТО!G13</f>
        <v>5400</v>
      </c>
      <c r="I195" s="51" t="s">
        <v>74</v>
      </c>
    </row>
    <row r="196" spans="1:10" ht="18.75" hidden="1" customHeight="1">
      <c r="A196" s="158">
        <f>ПТО!F14</f>
        <v>0</v>
      </c>
      <c r="B196" s="158"/>
      <c r="C196" s="158"/>
      <c r="D196" s="158"/>
      <c r="E196" s="158"/>
      <c r="F196" s="158"/>
      <c r="G196" s="158"/>
      <c r="H196" s="50">
        <f>ПТО!G14</f>
        <v>0</v>
      </c>
      <c r="I196" s="51" t="s">
        <v>74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0">
        <f>ПТО!G15</f>
        <v>0</v>
      </c>
      <c r="I197" s="51" t="s">
        <v>74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0">
        <f>ПТО!G16</f>
        <v>0</v>
      </c>
      <c r="I198" s="53" t="s">
        <v>74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0">
        <f>ПТО!G17</f>
        <v>0</v>
      </c>
      <c r="I199" s="51" t="s">
        <v>74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0">
        <f>ПТО!G18</f>
        <v>0</v>
      </c>
      <c r="I200" s="51" t="s">
        <v>74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0">
        <f>ПТО!G19</f>
        <v>0</v>
      </c>
      <c r="I201" s="51" t="s">
        <v>74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0">
        <f>ПТО!G20</f>
        <v>0</v>
      </c>
      <c r="I202" s="51" t="s">
        <v>74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0">
        <f>ПТО!G21</f>
        <v>0</v>
      </c>
      <c r="I203" s="51" t="s">
        <v>74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0">
        <f>ПТО!G22</f>
        <v>0</v>
      </c>
      <c r="I204" s="51" t="s">
        <v>74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0">
        <f>ПТО!G23</f>
        <v>0</v>
      </c>
      <c r="I205" s="51" t="s">
        <v>74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0">
        <f>ПТО!G24</f>
        <v>0</v>
      </c>
      <c r="I206" s="51" t="s">
        <v>74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0">
        <f>ПТО!G25</f>
        <v>0</v>
      </c>
      <c r="I207" s="51" t="s">
        <v>74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0">
        <f>ПТО!G26</f>
        <v>0</v>
      </c>
      <c r="I208" s="51" t="s">
        <v>74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0">
        <f>ПТО!G27</f>
        <v>0</v>
      </c>
      <c r="I209" s="51" t="s">
        <v>74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0">
        <f>ПТО!G28</f>
        <v>0</v>
      </c>
      <c r="I210" s="51" t="s">
        <v>74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0">
        <f>ПТО!G29</f>
        <v>0</v>
      </c>
      <c r="I211" s="51" t="s">
        <v>74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0">
        <f>ПТО!G30</f>
        <v>0</v>
      </c>
      <c r="I212" s="51" t="s">
        <v>74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6nKBqWIzQm5Y3qpMb9iCK0KRsnDWkyVe7Quux6N4UNzAIHqH61yIhxZD/IKMoXXxko3T2gW3yBG2lZjk0jeHtg==" saltValue="jL1TTa8kUP4YQIr1TE5M7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G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180</v>
      </c>
      <c r="G1" s="103">
        <f>-41230.32</f>
        <v>-41230.32</v>
      </c>
    </row>
    <row r="2" spans="1:12" ht="18.75" customHeight="1">
      <c r="A2" s="125" t="s">
        <v>178</v>
      </c>
      <c r="B2" s="122" t="s">
        <v>175</v>
      </c>
      <c r="C2" s="121">
        <v>12</v>
      </c>
      <c r="D2" s="120">
        <v>5400</v>
      </c>
      <c r="E2" s="31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185</v>
      </c>
      <c r="B3" s="130" t="s">
        <v>186</v>
      </c>
      <c r="C3" s="131">
        <v>1</v>
      </c>
      <c r="D3" s="132">
        <v>1700</v>
      </c>
      <c r="E3" s="129" t="s">
        <v>187</v>
      </c>
      <c r="F3" s="30"/>
      <c r="G3" s="30"/>
      <c r="L3" s="33" t="str">
        <f t="shared" si="0"/>
        <v>ТР</v>
      </c>
    </row>
    <row r="4" spans="1:12" ht="18.75" customHeight="1">
      <c r="A4" s="148" t="s">
        <v>190</v>
      </c>
      <c r="B4" s="149" t="s">
        <v>186</v>
      </c>
      <c r="C4" s="127">
        <v>1</v>
      </c>
      <c r="D4" s="128">
        <v>600</v>
      </c>
      <c r="E4" s="129" t="s">
        <v>197</v>
      </c>
      <c r="F4" s="30"/>
      <c r="G4" s="30"/>
      <c r="L4" s="33" t="str">
        <f t="shared" si="0"/>
        <v>ТР</v>
      </c>
    </row>
    <row r="5" spans="1:12" ht="18.75" customHeight="1">
      <c r="A5" s="133" t="s">
        <v>188</v>
      </c>
      <c r="B5" s="134" t="s">
        <v>186</v>
      </c>
      <c r="C5" s="127">
        <v>1</v>
      </c>
      <c r="D5" s="128">
        <v>300</v>
      </c>
      <c r="E5" s="129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45" t="s">
        <v>194</v>
      </c>
      <c r="B6" s="144" t="s">
        <v>186</v>
      </c>
      <c r="C6" s="143">
        <v>1</v>
      </c>
      <c r="D6" s="146">
        <v>542.4</v>
      </c>
      <c r="E6" s="147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5" t="s">
        <v>192</v>
      </c>
      <c r="B7" s="136" t="s">
        <v>186</v>
      </c>
      <c r="C7" s="137">
        <v>1</v>
      </c>
      <c r="D7" s="47">
        <v>11739</v>
      </c>
      <c r="E7" s="124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191</v>
      </c>
      <c r="B8" s="141" t="s">
        <v>186</v>
      </c>
      <c r="C8" s="139">
        <v>1</v>
      </c>
      <c r="D8" s="138">
        <v>1681.5</v>
      </c>
      <c r="E8" s="142" t="s">
        <v>196</v>
      </c>
      <c r="F8" s="46"/>
      <c r="G8" s="46"/>
      <c r="K8" s="44"/>
      <c r="L8" s="33" t="str">
        <f t="shared" si="0"/>
        <v>ТР</v>
      </c>
    </row>
    <row r="9" spans="1:12">
      <c r="A9" s="156" t="s">
        <v>207</v>
      </c>
      <c r="B9" s="157" t="s">
        <v>186</v>
      </c>
      <c r="C9" s="43">
        <v>1</v>
      </c>
      <c r="D9" s="44">
        <v>92979.76</v>
      </c>
      <c r="E9" s="45" t="s">
        <v>208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181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177</v>
      </c>
      <c r="G13" s="115">
        <v>5400</v>
      </c>
      <c r="L13" s="33">
        <f t="shared" si="0"/>
        <v>0</v>
      </c>
    </row>
    <row r="14" spans="1:12" ht="15.75">
      <c r="A14" s="30"/>
      <c r="F14" s="154"/>
      <c r="G14" s="15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22181.279999999999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22181.279999999999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28673.399999999998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28673.399999999998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15959.76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15959.76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6762.6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6762.6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30296.399999999998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30296.399999999998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199</v>
      </c>
      <c r="B46" s="150">
        <f>(E46*G52*F54*6+E46*G52*G54*6)+(F46*G58*F60*6+F46*G58*G60*6)+(F46*G62*F64*6+F46*G62*G64*6)</f>
        <v>24118.311600000001</v>
      </c>
      <c r="C46" s="151" t="s">
        <v>68</v>
      </c>
      <c r="D46" s="49">
        <v>12</v>
      </c>
      <c r="E46" s="150">
        <v>568.79999999999995</v>
      </c>
      <c r="F46" s="150">
        <v>138.4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24118.311600000001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2"/>
      <c r="C47" s="151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3" t="s">
        <v>200</v>
      </c>
      <c r="F51" s="153" t="s">
        <v>201</v>
      </c>
      <c r="G51" s="153" t="s">
        <v>202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3"/>
      <c r="F52" s="150">
        <v>1129.2</v>
      </c>
      <c r="G52" s="153">
        <v>2.5</v>
      </c>
      <c r="H52" s="153">
        <f>G52*E46/F52</f>
        <v>1.2592986184909669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3"/>
      <c r="F53" s="153" t="s">
        <v>203</v>
      </c>
      <c r="G53" s="153" t="s">
        <v>204</v>
      </c>
      <c r="H53" s="153">
        <f>H52*G55</f>
        <v>26.445270988310305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3"/>
      <c r="F54" s="153">
        <v>1.17</v>
      </c>
      <c r="G54" s="153">
        <v>1.23</v>
      </c>
      <c r="H54" s="153"/>
    </row>
    <row r="55" spans="5:16">
      <c r="E55" s="153"/>
      <c r="F55" s="153"/>
      <c r="G55" s="153">
        <v>21</v>
      </c>
      <c r="H55" s="153"/>
    </row>
    <row r="56" spans="5:16">
      <c r="E56" s="153"/>
      <c r="F56" s="153"/>
      <c r="G56" s="153"/>
      <c r="H56" s="153"/>
    </row>
    <row r="57" spans="5:16">
      <c r="E57" s="153" t="s">
        <v>205</v>
      </c>
      <c r="F57" s="153"/>
      <c r="G57" s="153"/>
      <c r="H57" s="153"/>
    </row>
    <row r="58" spans="5:16">
      <c r="E58" s="153"/>
      <c r="F58" s="150">
        <f>F52</f>
        <v>1129.2</v>
      </c>
      <c r="G58" s="153">
        <v>7.4999999999999997E-2</v>
      </c>
      <c r="H58" s="153">
        <f>G58*F46</f>
        <v>10.38</v>
      </c>
    </row>
    <row r="59" spans="5:16">
      <c r="E59" s="153"/>
      <c r="F59" s="153" t="s">
        <v>203</v>
      </c>
      <c r="G59" s="153" t="s">
        <v>204</v>
      </c>
      <c r="H59" s="153">
        <f>H58/F58</f>
        <v>9.1923485653560046E-3</v>
      </c>
    </row>
    <row r="60" spans="5:16">
      <c r="E60" s="153"/>
      <c r="F60" s="153">
        <v>12.94</v>
      </c>
      <c r="G60" s="153">
        <v>13.45</v>
      </c>
      <c r="H60" s="153">
        <f>H59*G55</f>
        <v>0.19303931987247611</v>
      </c>
    </row>
    <row r="61" spans="5:16">
      <c r="E61" s="153" t="s">
        <v>206</v>
      </c>
      <c r="F61" s="153"/>
      <c r="G61" s="153"/>
      <c r="H61" s="153"/>
    </row>
    <row r="62" spans="5:16">
      <c r="E62" s="153"/>
      <c r="F62" s="150">
        <f>F52</f>
        <v>1129.2</v>
      </c>
      <c r="G62" s="153">
        <v>7.4999999999999997E-2</v>
      </c>
      <c r="H62" s="153">
        <f>G62*F46</f>
        <v>10.38</v>
      </c>
    </row>
    <row r="63" spans="5:16">
      <c r="E63" s="153"/>
      <c r="F63" s="153" t="s">
        <v>203</v>
      </c>
      <c r="G63" s="153" t="s">
        <v>204</v>
      </c>
      <c r="H63" s="153">
        <f>H62/F62</f>
        <v>9.1923485653560046E-3</v>
      </c>
    </row>
    <row r="64" spans="5:16">
      <c r="E64" s="153"/>
      <c r="F64" s="153">
        <v>15.73</v>
      </c>
      <c r="G64" s="153">
        <v>16.350000000000001</v>
      </c>
      <c r="H64" s="153">
        <f>H63*G55</f>
        <v>0.19303931987247611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28" sqref="E2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123" t="s">
        <v>176</v>
      </c>
      <c r="F1" s="123">
        <v>1127.0999999999999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111579.45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249215.31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106322.07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73712.34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69180.899999999994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270200.53999999998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270200.53999999998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270200.53999999998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90594.22000000003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9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9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9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9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8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8"/>
      <c r="N26" s="64"/>
    </row>
    <row r="27" spans="1:15" ht="18.75" customHeight="1">
      <c r="A27" s="71" t="s">
        <v>104</v>
      </c>
      <c r="B27" s="76" t="s">
        <v>4</v>
      </c>
      <c r="C27" s="87">
        <v>85011.26</v>
      </c>
      <c r="D27" s="82" t="s">
        <v>60</v>
      </c>
      <c r="E27" s="65"/>
      <c r="F27" s="65"/>
      <c r="G27" s="65"/>
      <c r="H27" s="65"/>
      <c r="I27" s="65"/>
      <c r="J27" s="65"/>
      <c r="M27" s="188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8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8"/>
      <c r="N29" s="64"/>
    </row>
    <row r="30" spans="1:15" ht="18.75" customHeight="1">
      <c r="A30" s="71" t="s">
        <v>107</v>
      </c>
      <c r="B30" s="76" t="s">
        <v>18</v>
      </c>
      <c r="C30" s="87">
        <v>68568.479999999996</v>
      </c>
      <c r="D30" s="82" t="s">
        <v>66</v>
      </c>
      <c r="E30" s="65"/>
      <c r="F30" s="65"/>
      <c r="G30" s="65"/>
      <c r="H30" s="65"/>
      <c r="I30" s="65"/>
      <c r="J30" s="65"/>
      <c r="M30" s="188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8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8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8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8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21599.89</v>
      </c>
      <c r="F37" s="95" t="s">
        <v>166</v>
      </c>
      <c r="G37" s="67"/>
      <c r="H37" s="67"/>
      <c r="I37" s="67"/>
      <c r="L37" s="64"/>
      <c r="M37" s="187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17999.91</v>
      </c>
      <c r="D38" s="95" t="s">
        <v>164</v>
      </c>
      <c r="E38" s="69"/>
      <c r="G38" s="68"/>
      <c r="H38" s="68"/>
      <c r="L38" s="64"/>
      <c r="M38" s="187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22118.95</v>
      </c>
      <c r="D39" s="95" t="s">
        <v>165</v>
      </c>
      <c r="E39" s="69"/>
      <c r="G39" s="68"/>
      <c r="H39" s="68"/>
      <c r="L39" s="64"/>
      <c r="M39" s="187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7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21599.89</v>
      </c>
      <c r="D41" s="81" t="s">
        <v>59</v>
      </c>
      <c r="E41" s="69"/>
      <c r="G41" s="68"/>
      <c r="H41" s="68"/>
      <c r="L41" s="64"/>
      <c r="M41" s="187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21599.89</v>
      </c>
      <c r="D42" s="81" t="s">
        <v>59</v>
      </c>
      <c r="E42" s="69"/>
      <c r="G42" s="68"/>
      <c r="H42" s="68"/>
      <c r="L42" s="64"/>
      <c r="M42" s="187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7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7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51073.58</v>
      </c>
      <c r="F45" s="95" t="s">
        <v>166</v>
      </c>
      <c r="G45" s="67"/>
      <c r="H45" s="67"/>
      <c r="L45" s="64"/>
      <c r="M45" s="187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3869.21</v>
      </c>
      <c r="D46" s="95" t="s">
        <v>167</v>
      </c>
      <c r="E46" s="69"/>
      <c r="G46" s="68"/>
      <c r="H46" s="68"/>
      <c r="L46" s="64"/>
      <c r="M46" s="187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55637.68</v>
      </c>
      <c r="D47" s="95" t="s">
        <v>165</v>
      </c>
      <c r="E47" s="69"/>
      <c r="G47" s="68"/>
      <c r="H47" s="68"/>
      <c r="L47" s="64"/>
      <c r="M47" s="187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7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51073.58</v>
      </c>
      <c r="D49" s="81" t="s">
        <v>59</v>
      </c>
      <c r="E49" s="69"/>
      <c r="G49" s="68"/>
      <c r="H49" s="68"/>
      <c r="L49" s="64"/>
      <c r="M49" s="187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51073.58</v>
      </c>
      <c r="D50" s="81" t="s">
        <v>59</v>
      </c>
      <c r="E50" s="69"/>
      <c r="G50" s="68"/>
      <c r="H50" s="68"/>
      <c r="L50" s="64"/>
      <c r="M50" s="187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7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7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105907.26</v>
      </c>
      <c r="F53" s="95" t="s">
        <v>166</v>
      </c>
      <c r="G53" s="67"/>
      <c r="H53" s="67"/>
      <c r="L53" s="64"/>
      <c r="M53" s="187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6602.7</v>
      </c>
      <c r="D54" s="95" t="s">
        <v>167</v>
      </c>
      <c r="E54" s="70"/>
      <c r="F54" s="90"/>
      <c r="G54" s="65"/>
      <c r="H54" s="65"/>
      <c r="L54" s="64"/>
      <c r="M54" s="187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113615.98</v>
      </c>
      <c r="D55" s="95" t="s">
        <v>165</v>
      </c>
      <c r="E55" s="70"/>
      <c r="G55" s="65"/>
      <c r="H55" s="65"/>
      <c r="L55" s="64"/>
      <c r="M55" s="187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7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105907.26</v>
      </c>
      <c r="D57" s="81" t="s">
        <v>59</v>
      </c>
      <c r="E57" s="70"/>
      <c r="G57" s="65"/>
      <c r="H57" s="65"/>
      <c r="L57" s="64"/>
      <c r="M57" s="187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105907.26</v>
      </c>
      <c r="D58" s="81" t="s">
        <v>59</v>
      </c>
      <c r="E58" s="70"/>
      <c r="G58" s="65"/>
      <c r="H58" s="65"/>
      <c r="L58" s="64"/>
      <c r="M58" s="187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7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7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36014.81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2728.39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39665.71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36014.81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36014.81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49181.43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2022-03-25T09:06:17Z</dcterms:modified>
</cp:coreProperties>
</file>