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A124" i="1"/>
  <c r="A123" i="1"/>
  <c r="A120" i="1"/>
  <c r="A119" i="1"/>
  <c r="G118" i="1"/>
  <c r="D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9" i="1"/>
  <c r="A97" i="1"/>
  <c r="A95" i="1"/>
  <c r="G94" i="1"/>
  <c r="F94" i="1"/>
  <c r="A94" i="1"/>
  <c r="K94" i="1"/>
  <c r="D94" i="1" l="1"/>
  <c r="A96" i="1"/>
  <c r="A101" i="1"/>
  <c r="A105" i="1"/>
  <c r="A114" i="1"/>
  <c r="A109" i="1"/>
  <c r="A110" i="1"/>
  <c r="A111" i="1"/>
  <c r="A115" i="1"/>
  <c r="D110" i="1"/>
  <c r="A112" i="1"/>
  <c r="A116" i="1"/>
  <c r="F110" i="1"/>
  <c r="A113" i="1"/>
  <c r="F102" i="1"/>
  <c r="A136" i="1"/>
  <c r="D134" i="1"/>
  <c r="A137" i="1"/>
  <c r="F134" i="1"/>
  <c r="A140" i="1"/>
  <c r="F118" i="1"/>
  <c r="A121" i="1"/>
  <c r="A125" i="1"/>
  <c r="A106" i="1"/>
  <c r="A138" i="1"/>
  <c r="A102" i="1"/>
  <c r="A103" i="1"/>
  <c r="A107" i="1"/>
  <c r="A134" i="1"/>
  <c r="A135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<sst xmlns="http://schemas.openxmlformats.org/spreadsheetml/2006/main" count="560" uniqueCount="206">
  <si>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</si>
  <si>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</si>
  <si>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</si>
  <si>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</si>
  <si>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</si>
  <si>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</si>
  <si>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</si>
  <si>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</si>
  <si>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</si>
  <si>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</si>
  <si>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</si>
  <si>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</si>
  <si>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</si>
  <si>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</si>
  <si>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</si>
  <si>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</si>
  <si>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</si>
  <si>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</si>
  <si>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</si>
  <si>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</si>
  <si>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</si>
  <si>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</si>
  <si>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</si>
  <si>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</si>
  <si>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</si>
  <si>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</si>
  <si>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</si>
  <si>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</si>
  <si>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</si>
  <si>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</si>
  <si>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</si>
  <si>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</si>
  <si>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</si>
  <si>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</si>
  <si>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</si>
  <si>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</si>
  <si>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</si>
  <si>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</si>
  <si>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</si>
  <si>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</si>
  <si>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</si>
  <si>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</si>
  <si>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</si>
  <si>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</si>
  <si>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</si>
  <si>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</si>
  <si>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</si>
  <si>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</si>
  <si>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</si>
  <si>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</si>
  <si>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</si>
  <si>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</si>
  <si>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</si>
  <si>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</si>
  <si>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</si>
  <si>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</si>
  <si>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</si>
  <si>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</si>
  <si>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</si>
  <si>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</si>
  <si>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</si>
  <si>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</si>
  <si>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</si>
  <si>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</si>
  <si>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</si>
  <si>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</si>
  <si>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</si>
  <si>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</si>
  <si>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</si>
  <si>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</si>
  <si>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</si>
  <si>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</si>
  <si>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</si>
  <si>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</si>
  <si>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</si>
  <si>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</si>
  <si>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</si>
  <si>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</si>
  <si>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</si>
  <si>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</si>
  <si>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</si>
  <si>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</si>
  <si>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</si>
  <si>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</si>
  <si>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</si>
  <si>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</si>
  <si>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</si>
  <si>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</si>
  <si>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</si>
  <si>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</si>
  <si>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</si>
  <si>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</si>
  <si>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</si>
  <si>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</si>
  <si>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</si>
  <si>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</si>
  <si>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</si>
  <si>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</si>
  <si>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</si>
  <si>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</si>
  <si>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</si>
  <si>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</si>
  <si>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</si>
  <si>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</si>
  <si>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</si>
  <si>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</si>
  <si>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</si>
  <si>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</si>
  <si>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</si>
  <si>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</si>
  <si>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</si>
  <si>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</si>
  <si>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</si>
  <si>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</si>
  <si>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</si>
  <si>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</si>
  <si>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</si>
  <si>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</si>
  <si>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</si>
  <si>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</si>
  <si>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</si>
  <si>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</si>
  <si>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</si>
  <si>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</si>
  <si>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</si>
  <si>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</si>
  <si>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</si>
  <si>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</si>
  <si>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</si>
  <si>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</si>
  <si>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</si>
  <si>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</si>
  <si>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</si>
  <si>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</si>
  <si>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</si>
  <si>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</si>
  <si>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</si>
  <si>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</si>
  <si>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</si>
  <si>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</si>
  <si>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</si>
  <si>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</si>
  <si>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</si>
  <si>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</si>
  <si>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</si>
  <si>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</si>
  <si>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</si>
  <si>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</si>
  <si>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</si>
  <si>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</si>
  <si>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</si>
  <si>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</si>
  <si>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</si>
  <si>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</si>
  <si>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</si>
  <si>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</si>
  <si>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</si>
  <si>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</si>
  <si>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</si>
  <si>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</si>
  <si>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</si>
  <si>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</si>
  <si>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</si>
  <si>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</si>
  <si>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</si>
  <si>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</si>
  <si>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</si>
  <si>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</si>
  <si>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</si>
  <si>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</si>
  <si>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</si>
  <si>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</si>
  <si>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</si>
  <si>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</si>
  <si>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</si>
  <si>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106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</si>
  <si>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</si>
  <si>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</si>
  <si>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</si>
  <si>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106 в части текущего ремонта</t>
  </si>
  <si>
    <t xml:space="preserve">  -  техническое обслуживание охранной сигнализации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</si>
  <si>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</si>
  <si>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</si>
  <si>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</si>
  <si>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</si>
  <si>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</si>
  <si>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Ремонт прибора учета тепловой энергии.</t>
  </si>
  <si>
    <t>разово</t>
  </si>
  <si>
    <t>Приобретение и замена лучевых светильников (3 штуки).</t>
  </si>
  <si>
    <t>АВР 2/21 от 12.05.2021, Решение</t>
  </si>
  <si>
    <t>АВР 1/21 от 03.02.2021, счет №35 от 03.02.2021</t>
  </si>
  <si>
    <t>АВР 3/21 от 09.08.2021, Решение в доме 98</t>
  </si>
  <si>
    <t>Приобретение и установка ветровой планки на торец дома.</t>
  </si>
  <si>
    <t>АВР 4/21 от 28.10.2021, Решение, счет №866 от 19.10.2021</t>
  </si>
  <si>
    <t>Приобретение и установка информационного стенда на детскую площадку.</t>
  </si>
  <si>
    <t>АВР 5/21 от 24.11.2021, Решение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</si>
  <si>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</si>
  <si>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</si>
  <si>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</si>
  <si>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</si>
  <si>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</si>
  <si>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</si>
  <si>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</si>
  <si>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</si>
  <si>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6/21 от 30.12.2021</t>
  </si>
  <si>
    <t>Благоустройство придомовой территории (приобретение материалов для покраски песочниц).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</si>
</sst>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3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3" fillId="0" borderId="0"/>
    <xf numFmtId="0" fontId="3" fillId="0" borderId="0"/>
    <xf numFmtId="0" fontId="2" fillId="0" borderId="0"/>
  </cellStyleXfs>
  <cellXfs count="18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14" fillId="0" borderId="0" xfId="2" applyFont="1" applyFill="1" applyBorder="1" applyAlignment="1"/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3" fillId="0" borderId="0" xfId="5" applyFill="1" applyBorder="1" applyAlignment="1">
      <alignment horizontal="center" vertical="center"/>
    </xf>
    <xf numFmtId="4" fontId="13" fillId="0" borderId="0" xfId="5" applyNumberFormat="1" applyBorder="1" applyAlignment="1"/>
    <xf numFmtId="4" fontId="13" fillId="0" borderId="0" xfId="5" applyNumberFormat="1" applyFill="1" applyBorder="1" applyAlignment="1"/>
    <xf numFmtId="0" fontId="13" fillId="0" borderId="0" xfId="5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0" fontId="11" fillId="0" borderId="0" xfId="9" applyFont="1" applyFill="1" applyBorder="1" applyAlignment="1"/>
    <xf numFmtId="0" fontId="11" fillId="0" borderId="0" xfId="9" applyFont="1" applyFill="1" applyBorder="1" applyAlignment="1">
      <alignment horizontal="center"/>
    </xf>
    <xf numFmtId="0" fontId="28" fillId="0" borderId="0" xfId="9" applyFont="1" applyFill="1" applyBorder="1" applyAlignment="1">
      <alignment horizontal="center"/>
    </xf>
    <xf numFmtId="4" fontId="28" fillId="0" borderId="0" xfId="9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0" fontId="10" fillId="0" borderId="0" xfId="5" applyFont="1" applyFill="1" applyBorder="1" applyAlignment="1"/>
    <xf numFmtId="0" fontId="8" fillId="0" borderId="0" xfId="8" applyFont="1" applyFill="1" applyBorder="1" applyAlignment="1"/>
    <xf numFmtId="0" fontId="8" fillId="0" borderId="0" xfId="8" applyFont="1" applyFill="1" applyBorder="1" applyAlignment="1">
      <alignment horizontal="center"/>
    </xf>
    <xf numFmtId="1" fontId="12" fillId="0" borderId="0" xfId="8" applyNumberFormat="1" applyFill="1" applyBorder="1" applyAlignment="1">
      <alignment horizontal="center"/>
    </xf>
    <xf numFmtId="4" fontId="12" fillId="0" borderId="0" xfId="8" applyNumberFormat="1" applyFill="1" applyBorder="1" applyAlignment="1"/>
    <xf numFmtId="0" fontId="7" fillId="0" borderId="0" xfId="8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1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3" fillId="0" borderId="0" xfId="11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30" fillId="3" borderId="0" xfId="12" applyNumberFormat="1" applyFont="1" applyFill="1" applyBorder="1" applyAlignment="1">
      <alignment horizontal="left" vertical="center" wrapText="1"/>
    </xf>
    <xf numFmtId="4" fontId="38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7"/>
    <cellStyle name="Обычный 3 3" xfId="6"/>
    <cellStyle name="Обычный 3 6" xfId="10"/>
    <cellStyle name="Обычный 4" xfId="4"/>
    <cellStyle name="Обычный 4 2" xfId="9"/>
    <cellStyle name="Обычный 4 3" xfId="11"/>
    <cellStyle name="Обычный 5" xfId="5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33" sqref="N3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77" t="s">
        <v>175</v>
      </c>
      <c r="B2" s="177"/>
      <c r="C2" s="177"/>
      <c r="D2" s="177"/>
      <c r="E2" s="177"/>
      <c r="F2" s="177"/>
      <c r="G2" s="177"/>
      <c r="H2" s="177"/>
      <c r="I2" s="177"/>
      <c r="J2" s="177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11"/>
      <c r="L8" s="178"/>
      <c r="M8" s="111"/>
      <c r="N8" s="111"/>
      <c r="O8" s="71" t="s">
        <v>81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11"/>
      <c r="L9" s="178"/>
      <c r="M9" s="111"/>
      <c r="N9" s="111"/>
      <c r="O9" s="71" t="s">
        <v>82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96630.11</v>
      </c>
      <c r="K10" s="111"/>
      <c r="L10" s="178"/>
      <c r="M10" s="111"/>
      <c r="N10" s="111"/>
      <c r="O10" s="71" t="s">
        <v>83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219392.33000000002</v>
      </c>
      <c r="K11" s="111"/>
      <c r="L11" s="178"/>
      <c r="M11" s="111"/>
      <c r="N11" s="111"/>
      <c r="O11" s="71" t="s">
        <v>84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144855.95000000001</v>
      </c>
      <c r="K12" s="111"/>
      <c r="L12" s="178"/>
      <c r="M12" s="111"/>
      <c r="N12" s="111"/>
      <c r="O12" s="71" t="s">
        <v>85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74536.38</v>
      </c>
      <c r="K13" s="111"/>
      <c r="L13" s="178"/>
      <c r="M13" s="111"/>
      <c r="N13" s="111"/>
      <c r="O13" s="71" t="s">
        <v>86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0</v>
      </c>
      <c r="K14" s="111"/>
      <c r="L14" s="178"/>
      <c r="M14" s="111"/>
      <c r="N14" s="111"/>
      <c r="O14" s="71" t="s">
        <v>87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220260.4</v>
      </c>
      <c r="K15" s="111"/>
      <c r="L15" s="178"/>
      <c r="M15" s="111"/>
      <c r="N15" s="111"/>
      <c r="O15" s="71" t="s">
        <v>88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220260.4</v>
      </c>
      <c r="K16" s="111"/>
      <c r="L16" s="178"/>
      <c r="M16" s="111"/>
      <c r="N16" s="111"/>
      <c r="O16" s="71" t="s">
        <v>89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11"/>
      <c r="L17" s="178"/>
      <c r="M17" s="111"/>
      <c r="N17" s="111"/>
      <c r="O17" s="71" t="s">
        <v>90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11"/>
      <c r="L18" s="178"/>
      <c r="M18" s="111"/>
      <c r="N18" s="111"/>
      <c r="O18" s="71" t="s">
        <v>91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11"/>
      <c r="L19" s="178"/>
      <c r="M19" s="111"/>
      <c r="N19" s="111"/>
      <c r="O19" s="71" t="s">
        <v>92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11"/>
      <c r="L20" s="178"/>
      <c r="M20" s="111"/>
      <c r="N20" s="111"/>
      <c r="O20" s="71" t="s">
        <v>93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220260.4</v>
      </c>
      <c r="K21" s="111"/>
      <c r="L21" s="178"/>
      <c r="M21" s="111"/>
      <c r="N21" s="111"/>
      <c r="O21" s="71" t="s">
        <v>94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11"/>
      <c r="L22" s="178"/>
      <c r="M22" s="111"/>
      <c r="N22" s="111"/>
      <c r="O22" s="71" t="s">
        <v>95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11"/>
      <c r="L23" s="178"/>
      <c r="M23" s="111"/>
      <c r="N23" s="111"/>
      <c r="O23" s="71" t="s">
        <v>96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95762.040000000008</v>
      </c>
      <c r="K24" s="111"/>
      <c r="L24" s="178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1" t="s">
        <v>19</v>
      </c>
      <c r="B27" s="161"/>
      <c r="C27" s="161"/>
      <c r="D27" s="161"/>
      <c r="E27" s="161"/>
      <c r="F27" s="161" t="s">
        <v>20</v>
      </c>
      <c r="G27" s="161"/>
      <c r="H27" s="5" t="s">
        <v>57</v>
      </c>
      <c r="I27" s="161" t="s">
        <v>21</v>
      </c>
      <c r="J27" s="161"/>
      <c r="K27" s="111"/>
      <c r="L27" s="179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56">
        <f>VLOOKUP(A28,ПТО!$A$39:$D$53,2,FALSE)</f>
        <v>28036.68</v>
      </c>
      <c r="G28" s="156"/>
      <c r="H28" s="6" t="str">
        <f>VLOOKUP(A28,ПТО!$A$39:$D$53,3,FALSE)</f>
        <v>Ежемесячно</v>
      </c>
      <c r="I28" s="157">
        <f>VLOOKUP(A28,ПТО!$A$39:$D$53,4,FALSE)</f>
        <v>12</v>
      </c>
      <c r="J28" s="157"/>
      <c r="K28" s="111"/>
      <c r="L28" s="179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5"/>
      <c r="C29" s="155"/>
      <c r="D29" s="155"/>
      <c r="E29" s="155"/>
      <c r="F29" s="156">
        <f>VLOOKUP(A29,ПТО!$A$39:$D$53,2,FALSE)</f>
        <v>34191</v>
      </c>
      <c r="G29" s="156"/>
      <c r="H29" s="42" t="str">
        <f>VLOOKUP(A29,ПТО!$A$39:$D$53,3,FALSE)</f>
        <v>Ежемесячно</v>
      </c>
      <c r="I29" s="157">
        <f>VLOOKUP(A29,ПТО!$A$39:$D$53,4,FALSE)</f>
        <v>12</v>
      </c>
      <c r="J29" s="157"/>
      <c r="K29" s="111"/>
      <c r="L29" s="179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56">
        <f>VLOOKUP(A30,ПТО!$A$39:$D$53,2,FALSE)</f>
        <v>29130.720000000001</v>
      </c>
      <c r="G30" s="156"/>
      <c r="H30" s="42" t="str">
        <f>VLOOKUP(A30,ПТО!$A$39:$D$53,3,FALSE)</f>
        <v>В соответствии с графиком</v>
      </c>
      <c r="I30" s="157">
        <f>VLOOKUP(A30,ПТО!$A$39:$D$53,4,FALSE)</f>
        <v>12</v>
      </c>
      <c r="J30" s="157"/>
      <c r="K30" s="111"/>
      <c r="L30" s="179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56">
        <f>VLOOKUP(A31,ПТО!$A$39:$D$53,2,FALSE)</f>
        <v>16411.68</v>
      </c>
      <c r="G31" s="156"/>
      <c r="H31" s="42" t="str">
        <f>VLOOKUP(A31,ПТО!$A$39:$D$53,3,FALSE)</f>
        <v>Ежемесячно</v>
      </c>
      <c r="I31" s="157">
        <f>VLOOKUP(A31,ПТО!$A$39:$D$53,4,FALSE)</f>
        <v>12</v>
      </c>
      <c r="J31" s="157"/>
      <c r="K31" s="111"/>
      <c r="L31" s="179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56" t="e">
        <f>VLOOKUP(A32,ПТО!$A$39:$D$53,2,FALSE)</f>
        <v>#N/A</v>
      </c>
      <c r="G32" s="156"/>
      <c r="H32" s="42" t="e">
        <f>VLOOKUP(A32,ПТО!$A$39:$D$53,3,FALSE)</f>
        <v>#N/A</v>
      </c>
      <c r="I32" s="157" t="e">
        <f>VLOOKUP(A32,ПТО!$A$39:$D$53,4,FALSE)</f>
        <v>#N/A</v>
      </c>
      <c r="J32" s="157"/>
      <c r="K32" s="111"/>
      <c r="L32" s="179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56">
        <f>VLOOKUP(A33,ПТО!$A$39:$D$53,2,FALSE)</f>
        <v>6838.2</v>
      </c>
      <c r="G33" s="156"/>
      <c r="H33" s="42" t="str">
        <f>VLOOKUP(A33,ПТО!$A$39:$D$53,3,FALSE)</f>
        <v>Круглосуточно</v>
      </c>
      <c r="I33" s="157">
        <f>VLOOKUP(A33,ПТО!$A$39:$D$53,4,FALSE)</f>
        <v>12</v>
      </c>
      <c r="J33" s="157"/>
      <c r="K33" s="111"/>
      <c r="L33" s="179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56">
        <f>VLOOKUP(A34,ПТО!$A$39:$D$53,2,FALSE)</f>
        <v>28720.44</v>
      </c>
      <c r="G34" s="156"/>
      <c r="H34" s="42" t="str">
        <f>VLOOKUP(A34,ПТО!$A$39:$D$53,3,FALSE)</f>
        <v>В соответствии с графиком</v>
      </c>
      <c r="I34" s="157">
        <f>VLOOKUP(A34,ПТО!$A$39:$D$53,4,FALSE)</f>
        <v>12</v>
      </c>
      <c r="J34" s="157"/>
      <c r="K34" s="111"/>
      <c r="L34" s="179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5" t="str">
        <f>ПТО!A46</f>
        <v>Коммунальные ресурсы на содержание общего имущества</v>
      </c>
      <c r="B35" s="155"/>
      <c r="C35" s="155"/>
      <c r="D35" s="155"/>
      <c r="E35" s="155"/>
      <c r="F35" s="156">
        <f>VLOOKUP(A35,ПТО!$A$39:$D$53,2,FALSE)</f>
        <v>25033.43475</v>
      </c>
      <c r="G35" s="156"/>
      <c r="H35" s="42" t="str">
        <f>VLOOKUP(A35,ПТО!$A$39:$D$53,3,FALSE)</f>
        <v>Ежемесячно</v>
      </c>
      <c r="I35" s="157">
        <f>VLOOKUP(A35,ПТО!$A$39:$D$53,4,FALSE)</f>
        <v>12</v>
      </c>
      <c r="J35" s="157"/>
      <c r="K35" s="111"/>
      <c r="L35" s="179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5">
        <f>ПТО!A47</f>
        <v>0</v>
      </c>
      <c r="B36" s="155"/>
      <c r="C36" s="155"/>
      <c r="D36" s="155"/>
      <c r="E36" s="155"/>
      <c r="F36" s="156" t="e">
        <f>VLOOKUP(A36,ПТО!$A$39:$D$53,2,FALSE)</f>
        <v>#N/A</v>
      </c>
      <c r="G36" s="156"/>
      <c r="H36" s="42" t="e">
        <f>VLOOKUP(A36,ПТО!$A$39:$D$53,3,FALSE)</f>
        <v>#N/A</v>
      </c>
      <c r="I36" s="157" t="e">
        <f>VLOOKUP(A36,ПТО!$A$39:$D$53,4,FALSE)</f>
        <v>#N/A</v>
      </c>
      <c r="J36" s="157"/>
      <c r="K36" s="111"/>
      <c r="L36" s="179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56" t="e">
        <f>VLOOKUP(A37,ПТО!$A$39:$D$53,2,FALSE)</f>
        <v>#N/A</v>
      </c>
      <c r="G37" s="156"/>
      <c r="H37" s="42" t="e">
        <f>VLOOKUP(A37,ПТО!$A$39:$D$53,3,FALSE)</f>
        <v>#N/A</v>
      </c>
      <c r="I37" s="157" t="e">
        <f>VLOOKUP(A37,ПТО!$A$39:$D$53,4,FALSE)</f>
        <v>#N/A</v>
      </c>
      <c r="J37" s="157"/>
      <c r="K37" s="111"/>
      <c r="L37" s="179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56" t="e">
        <f>VLOOKUP(A38,ПТО!$A$39:$D$53,2,FALSE)</f>
        <v>#N/A</v>
      </c>
      <c r="G38" s="156"/>
      <c r="H38" s="42" t="e">
        <f>VLOOKUP(A38,ПТО!$A$39:$D$53,3,FALSE)</f>
        <v>#N/A</v>
      </c>
      <c r="I38" s="157" t="e">
        <f>VLOOKUP(A38,ПТО!$A$39:$D$53,4,FALSE)</f>
        <v>#N/A</v>
      </c>
      <c r="J38" s="157"/>
      <c r="K38" s="111"/>
      <c r="L38" s="179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56" t="e">
        <f>VLOOKUP(A39,ПТО!$A$39:$D$53,2,FALSE)</f>
        <v>#N/A</v>
      </c>
      <c r="G39" s="156"/>
      <c r="H39" s="42" t="e">
        <f>VLOOKUP(A39,ПТО!$A$39:$D$53,3,FALSE)</f>
        <v>#N/A</v>
      </c>
      <c r="I39" s="157" t="e">
        <f>VLOOKUP(A39,ПТО!$A$39:$D$53,4,FALSE)</f>
        <v>#N/A</v>
      </c>
      <c r="J39" s="157"/>
      <c r="K39" s="111"/>
      <c r="L39" s="179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56" t="e">
        <f>VLOOKUP(A40,ПТО!$A$39:$D$53,2,FALSE)</f>
        <v>#N/A</v>
      </c>
      <c r="G40" s="156"/>
      <c r="H40" s="42" t="e">
        <f>VLOOKUP(A40,ПТО!$A$39:$D$53,3,FALSE)</f>
        <v>#N/A</v>
      </c>
      <c r="I40" s="157" t="e">
        <f>VLOOKUP(A40,ПТО!$A$39:$D$53,4,FALSE)</f>
        <v>#N/A</v>
      </c>
      <c r="J40" s="157"/>
      <c r="K40" s="111"/>
      <c r="L40" s="179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56" t="e">
        <f>VLOOKUP(A41,ПТО!$A$39:$D$53,2,FALSE)</f>
        <v>#N/A</v>
      </c>
      <c r="G41" s="156"/>
      <c r="H41" s="42" t="e">
        <f>VLOOKUP(A41,ПТО!$A$39:$D$53,3,FALSE)</f>
        <v>#N/A</v>
      </c>
      <c r="I41" s="157" t="e">
        <f>VLOOKUP(A41,ПТО!$A$39:$D$53,4,FALSE)</f>
        <v>#N/A</v>
      </c>
      <c r="J41" s="157"/>
      <c r="K41" s="111"/>
      <c r="L41" s="179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56" t="e">
        <f>VLOOKUP(A42,ПТО!$A$39:$D$53,2,FALSE)</f>
        <v>#N/A</v>
      </c>
      <c r="G42" s="156"/>
      <c r="H42" s="42" t="e">
        <f>VLOOKUP(A42,ПТО!$A$39:$D$53,3,FALSE)</f>
        <v>#N/A</v>
      </c>
      <c r="I42" s="157" t="e">
        <f>VLOOKUP(A42,ПТО!$A$39:$D$53,4,FALSE)</f>
        <v>#N/A</v>
      </c>
      <c r="J42" s="157"/>
      <c r="K42" s="111"/>
      <c r="L42" s="179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5" t="str">
        <f>ПТО!A2</f>
        <v>Техническое обслуживание охранной сигнализации.</v>
      </c>
      <c r="B43" s="155"/>
      <c r="C43" s="155"/>
      <c r="D43" s="155"/>
      <c r="E43" s="155"/>
      <c r="F43" s="156">
        <f>VLOOKUP(A43,ПТО!$A$2:$D$31,4,FALSE)</f>
        <v>5508</v>
      </c>
      <c r="G43" s="156"/>
      <c r="H43" s="19" t="str">
        <f>VLOOKUP(A43,ПТО!$A$2:$D$31,2,FALSE)</f>
        <v>ежемесячно</v>
      </c>
      <c r="I43" s="157">
        <f>VLOOKUP(A43,ПТО!$A$2:$D$31,3,FALSE)</f>
        <v>12</v>
      </c>
      <c r="J43" s="157"/>
      <c r="K43" s="111"/>
      <c r="L43" s="179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5" t="str">
        <f>ПТО!A3</f>
        <v>Ремонт прибора учета тепловой энергии.</v>
      </c>
      <c r="B44" s="155"/>
      <c r="C44" s="155"/>
      <c r="D44" s="155"/>
      <c r="E44" s="155"/>
      <c r="F44" s="156">
        <f>VLOOKUP(A44,ПТО!$A$2:$D$31,4,FALSE)</f>
        <v>3382.5</v>
      </c>
      <c r="G44" s="156"/>
      <c r="H44" s="25" t="str">
        <f>VLOOKUP(A44,ПТО!$A$2:$D$31,2,FALSE)</f>
        <v>разово</v>
      </c>
      <c r="I44" s="157">
        <f>VLOOKUP(A44,ПТО!$A$2:$D$31,3,FALSE)</f>
        <v>1</v>
      </c>
      <c r="J44" s="157"/>
      <c r="K44" s="111"/>
      <c r="L44" s="179"/>
      <c r="M44" s="118"/>
      <c r="N44" s="111"/>
      <c r="O44" s="23" t="str">
        <f t="shared" si="1"/>
        <v>Ремонт прибора учета тепловой энергии.</v>
      </c>
      <c r="R44" s="22" t="s">
        <v>72</v>
      </c>
    </row>
    <row r="45" spans="1:18" ht="51" customHeight="1" outlineLevel="1">
      <c r="A45" s="155" t="str">
        <f>ПТО!A4</f>
        <v>Приобретение и замена лучевых светильников (3 штуки).</v>
      </c>
      <c r="B45" s="155"/>
      <c r="C45" s="155"/>
      <c r="D45" s="155"/>
      <c r="E45" s="155"/>
      <c r="F45" s="156">
        <f>VLOOKUP(A45,ПТО!$A$2:$D$31,4,FALSE)</f>
        <v>2700</v>
      </c>
      <c r="G45" s="156"/>
      <c r="H45" s="25" t="str">
        <f>VLOOKUP(A45,ПТО!$A$2:$D$31,2,FALSE)</f>
        <v>разово</v>
      </c>
      <c r="I45" s="157">
        <f>VLOOKUP(A45,ПТО!$A$2:$D$31,3,FALSE)</f>
        <v>1</v>
      </c>
      <c r="J45" s="157"/>
      <c r="K45" s="111"/>
      <c r="L45" s="179"/>
      <c r="M45" s="118"/>
      <c r="N45" s="111"/>
      <c r="O45" s="23" t="str">
        <f t="shared" si="1"/>
        <v>Приобретение и замена лучевых светильников (3 штуки).</v>
      </c>
      <c r="R45" s="22" t="s">
        <v>72</v>
      </c>
    </row>
    <row r="46" spans="1:18" ht="51" customHeight="1" outlineLevel="1">
      <c r="A46" s="155" t="str">
        <f>ПТО!A5</f>
        <v>Благоустройство придомовой территории (приобретение материалов для покраски песочниц).</v>
      </c>
      <c r="B46" s="155"/>
      <c r="C46" s="155"/>
      <c r="D46" s="155"/>
      <c r="E46" s="155"/>
      <c r="F46" s="156">
        <f>VLOOKUP(A46,ПТО!$A$2:$D$31,4,FALSE)</f>
        <v>750</v>
      </c>
      <c r="G46" s="156"/>
      <c r="H46" s="25" t="str">
        <f>VLOOKUP(A46,ПТО!$A$2:$D$31,2,FALSE)</f>
        <v>разово</v>
      </c>
      <c r="I46" s="157">
        <f>VLOOKUP(A46,ПТО!$A$2:$D$31,3,FALSE)</f>
        <v>1</v>
      </c>
      <c r="J46" s="157"/>
      <c r="K46" s="111"/>
      <c r="L46" s="179"/>
      <c r="M46" s="118"/>
      <c r="N46" s="111"/>
      <c r="O46" s="23" t="str">
        <f t="shared" si="1"/>
        <v>Благоустройство придомовой территории (приобретение материалов для покраски песочниц).</v>
      </c>
      <c r="R46" s="22" t="s">
        <v>72</v>
      </c>
    </row>
    <row r="47" spans="1:18" ht="51" customHeight="1" outlineLevel="1">
      <c r="A47" s="155" t="str">
        <f>ПТО!A6</f>
        <v>Приобретение и установка ветровой планки на торец дома.</v>
      </c>
      <c r="B47" s="155"/>
      <c r="C47" s="155"/>
      <c r="D47" s="155"/>
      <c r="E47" s="155"/>
      <c r="F47" s="156">
        <f>VLOOKUP(A47,ПТО!$A$2:$D$31,4,FALSE)</f>
        <v>7600</v>
      </c>
      <c r="G47" s="156"/>
      <c r="H47" s="25" t="str">
        <f>VLOOKUP(A47,ПТО!$A$2:$D$31,2,FALSE)</f>
        <v>разово</v>
      </c>
      <c r="I47" s="157">
        <f>VLOOKUP(A47,ПТО!$A$2:$D$31,3,FALSE)</f>
        <v>1</v>
      </c>
      <c r="J47" s="157"/>
      <c r="K47" s="111"/>
      <c r="L47" s="179"/>
      <c r="M47" s="118"/>
      <c r="N47" s="111"/>
      <c r="O47" s="23" t="str">
        <f t="shared" si="1"/>
        <v>Приобретение и установка ветровой планки на торец дома.</v>
      </c>
      <c r="R47" s="22" t="s">
        <v>72</v>
      </c>
    </row>
    <row r="48" spans="1:18" ht="51" customHeight="1" outlineLevel="1">
      <c r="A48" s="155" t="str">
        <f>ПТО!A7</f>
        <v>Приобретение и установка информационного стенда на детскую площадку.</v>
      </c>
      <c r="B48" s="155"/>
      <c r="C48" s="155"/>
      <c r="D48" s="155"/>
      <c r="E48" s="155"/>
      <c r="F48" s="156">
        <f>VLOOKUP(A48,ПТО!$A$2:$D$31,4,FALSE)</f>
        <v>542.4</v>
      </c>
      <c r="G48" s="156"/>
      <c r="H48" s="25" t="str">
        <f>VLOOKUP(A48,ПТО!$A$2:$D$31,2,FALSE)</f>
        <v>разово</v>
      </c>
      <c r="I48" s="157">
        <f>VLOOKUP(A48,ПТО!$A$2:$D$31,3,FALSE)</f>
        <v>1</v>
      </c>
      <c r="J48" s="157"/>
      <c r="K48" s="111"/>
      <c r="L48" s="179"/>
      <c r="M48" s="118"/>
      <c r="N48" s="111"/>
      <c r="O48" s="23" t="str">
        <f t="shared" si="1"/>
        <v>Приобретение и установка информационного стенда на детскую площадку.</v>
      </c>
      <c r="R48" s="22" t="s">
        <v>72</v>
      </c>
    </row>
    <row r="49" spans="1:18" ht="51" hidden="1" customHeight="1" outlineLevel="1">
      <c r="A49" s="155">
        <f>ПТО!A8</f>
        <v>0</v>
      </c>
      <c r="B49" s="155"/>
      <c r="C49" s="155"/>
      <c r="D49" s="155"/>
      <c r="E49" s="155"/>
      <c r="F49" s="156" t="e">
        <f>VLOOKUP(A49,ПТО!$A$2:$D$31,4,FALSE)</f>
        <v>#N/A</v>
      </c>
      <c r="G49" s="156"/>
      <c r="H49" s="25" t="e">
        <f>VLOOKUP(A49,ПТО!$A$2:$D$31,2,FALSE)</f>
        <v>#N/A</v>
      </c>
      <c r="I49" s="157" t="e">
        <f>VLOOKUP(A49,ПТО!$A$2:$D$31,3,FALSE)</f>
        <v>#N/A</v>
      </c>
      <c r="J49" s="157"/>
      <c r="K49" s="111"/>
      <c r="L49" s="179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55">
        <f>ПТО!A9</f>
        <v>0</v>
      </c>
      <c r="B50" s="155"/>
      <c r="C50" s="155"/>
      <c r="D50" s="155"/>
      <c r="E50" s="155"/>
      <c r="F50" s="156" t="e">
        <f>VLOOKUP(A50,ПТО!$A$2:$D$31,4,FALSE)</f>
        <v>#N/A</v>
      </c>
      <c r="G50" s="156"/>
      <c r="H50" s="25" t="e">
        <f>VLOOKUP(A50,ПТО!$A$2:$D$31,2,FALSE)</f>
        <v>#N/A</v>
      </c>
      <c r="I50" s="157" t="e">
        <f>VLOOKUP(A50,ПТО!$A$2:$D$31,3,FALSE)</f>
        <v>#N/A</v>
      </c>
      <c r="J50" s="157"/>
      <c r="K50" s="111"/>
      <c r="L50" s="179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5">
        <f>ПТО!A10</f>
        <v>0</v>
      </c>
      <c r="B51" s="155"/>
      <c r="C51" s="155"/>
      <c r="D51" s="155"/>
      <c r="E51" s="155"/>
      <c r="F51" s="156" t="e">
        <f>VLOOKUP(A51,ПТО!$A$2:$D$31,4,FALSE)</f>
        <v>#N/A</v>
      </c>
      <c r="G51" s="156"/>
      <c r="H51" s="25" t="e">
        <f>VLOOKUP(A51,ПТО!$A$2:$D$31,2,FALSE)</f>
        <v>#N/A</v>
      </c>
      <c r="I51" s="157" t="e">
        <f>VLOOKUP(A51,ПТО!$A$2:$D$31,3,FALSE)</f>
        <v>#N/A</v>
      </c>
      <c r="J51" s="157"/>
      <c r="K51" s="111"/>
      <c r="L51" s="179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56" t="e">
        <f>VLOOKUP(A52,ПТО!$A$2:$D$31,4,FALSE)</f>
        <v>#N/A</v>
      </c>
      <c r="G52" s="156"/>
      <c r="H52" s="25" t="e">
        <f>VLOOKUP(A52,ПТО!$A$2:$D$31,2,FALSE)</f>
        <v>#N/A</v>
      </c>
      <c r="I52" s="157" t="e">
        <f>VLOOKUP(A52,ПТО!$A$2:$D$31,3,FALSE)</f>
        <v>#N/A</v>
      </c>
      <c r="J52" s="157"/>
      <c r="K52" s="111"/>
      <c r="L52" s="179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56" t="e">
        <f>VLOOKUP(A53,ПТО!$A$2:$D$31,4,FALSE)</f>
        <v>#N/A</v>
      </c>
      <c r="G53" s="156"/>
      <c r="H53" s="25" t="e">
        <f>VLOOKUP(A53,ПТО!$A$2:$D$31,2,FALSE)</f>
        <v>#N/A</v>
      </c>
      <c r="I53" s="157" t="e">
        <f>VLOOKUP(A53,ПТО!$A$2:$D$31,3,FALSE)</f>
        <v>#N/A</v>
      </c>
      <c r="J53" s="157"/>
      <c r="K53" s="111"/>
      <c r="L53" s="179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56" t="e">
        <f>VLOOKUP(A54,ПТО!$A$2:$D$31,4,FALSE)</f>
        <v>#N/A</v>
      </c>
      <c r="G54" s="156"/>
      <c r="H54" s="25" t="e">
        <f>VLOOKUP(A54,ПТО!$A$2:$D$31,2,FALSE)</f>
        <v>#N/A</v>
      </c>
      <c r="I54" s="157" t="e">
        <f>VLOOKUP(A54,ПТО!$A$2:$D$31,3,FALSE)</f>
        <v>#N/A</v>
      </c>
      <c r="J54" s="157"/>
      <c r="K54" s="111"/>
      <c r="L54" s="179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56" t="e">
        <f>VLOOKUP(A55,ПТО!$A$2:$D$31,4,FALSE)</f>
        <v>#N/A</v>
      </c>
      <c r="G55" s="156"/>
      <c r="H55" s="25" t="e">
        <f>VLOOKUP(A55,ПТО!$A$2:$D$31,2,FALSE)</f>
        <v>#N/A</v>
      </c>
      <c r="I55" s="157" t="e">
        <f>VLOOKUP(A55,ПТО!$A$2:$D$31,3,FALSE)</f>
        <v>#N/A</v>
      </c>
      <c r="J55" s="157"/>
      <c r="K55" s="111"/>
      <c r="L55" s="179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56" t="e">
        <f>VLOOKUP(A56,ПТО!$A$2:$D$31,4,FALSE)</f>
        <v>#N/A</v>
      </c>
      <c r="G56" s="156"/>
      <c r="H56" s="25" t="e">
        <f>VLOOKUP(A56,ПТО!$A$2:$D$31,2,FALSE)</f>
        <v>#N/A</v>
      </c>
      <c r="I56" s="157" t="e">
        <f>VLOOKUP(A56,ПТО!$A$2:$D$31,3,FALSE)</f>
        <v>#N/A</v>
      </c>
      <c r="J56" s="157"/>
      <c r="K56" s="111"/>
      <c r="L56" s="179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56" t="e">
        <f>VLOOKUP(A57,ПТО!$A$2:$D$31,4,FALSE)</f>
        <v>#N/A</v>
      </c>
      <c r="G57" s="156"/>
      <c r="H57" s="25" t="e">
        <f>VLOOKUP(A57,ПТО!$A$2:$D$31,2,FALSE)</f>
        <v>#N/A</v>
      </c>
      <c r="I57" s="157" t="e">
        <f>VLOOKUP(A57,ПТО!$A$2:$D$31,3,FALSE)</f>
        <v>#N/A</v>
      </c>
      <c r="J57" s="157"/>
      <c r="K57" s="111"/>
      <c r="L57" s="179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56" t="e">
        <f>VLOOKUP(A58,ПТО!$A$2:$D$31,4,FALSE)</f>
        <v>#N/A</v>
      </c>
      <c r="G58" s="156"/>
      <c r="H58" s="25" t="e">
        <f>VLOOKUP(A58,ПТО!$A$2:$D$31,2,FALSE)</f>
        <v>#N/A</v>
      </c>
      <c r="I58" s="157" t="e">
        <f>VLOOKUP(A58,ПТО!$A$2:$D$31,3,FALSE)</f>
        <v>#N/A</v>
      </c>
      <c r="J58" s="157"/>
      <c r="K58" s="111"/>
      <c r="L58" s="179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56" t="e">
        <f>VLOOKUP(A59,ПТО!$A$2:$D$31,4,FALSE)</f>
        <v>#N/A</v>
      </c>
      <c r="G59" s="156"/>
      <c r="H59" s="25" t="e">
        <f>VLOOKUP(A59,ПТО!$A$2:$D$31,2,FALSE)</f>
        <v>#N/A</v>
      </c>
      <c r="I59" s="157" t="e">
        <f>VLOOKUP(A59,ПТО!$A$2:$D$31,3,FALSE)</f>
        <v>#N/A</v>
      </c>
      <c r="J59" s="157"/>
      <c r="K59" s="111"/>
      <c r="L59" s="179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56" t="e">
        <f>VLOOKUP(A60,ПТО!$A$2:$D$31,4,FALSE)</f>
        <v>#N/A</v>
      </c>
      <c r="G60" s="156"/>
      <c r="H60" s="25" t="e">
        <f>VLOOKUP(A60,ПТО!$A$2:$D$31,2,FALSE)</f>
        <v>#N/A</v>
      </c>
      <c r="I60" s="157" t="e">
        <f>VLOOKUP(A60,ПТО!$A$2:$D$31,3,FALSE)</f>
        <v>#N/A</v>
      </c>
      <c r="J60" s="157"/>
      <c r="K60" s="111"/>
      <c r="L60" s="179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56" t="e">
        <f>VLOOKUP(A61,ПТО!$A$2:$D$31,4,FALSE)</f>
        <v>#N/A</v>
      </c>
      <c r="G61" s="156"/>
      <c r="H61" s="25" t="e">
        <f>VLOOKUP(A61,ПТО!$A$2:$D$31,2,FALSE)</f>
        <v>#N/A</v>
      </c>
      <c r="I61" s="157" t="e">
        <f>VLOOKUP(A61,ПТО!$A$2:$D$31,3,FALSE)</f>
        <v>#N/A</v>
      </c>
      <c r="J61" s="157"/>
      <c r="K61" s="111"/>
      <c r="L61" s="179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56" t="e">
        <f>VLOOKUP(A62,ПТО!$A$2:$D$31,4,FALSE)</f>
        <v>#N/A</v>
      </c>
      <c r="G62" s="156"/>
      <c r="H62" s="25" t="e">
        <f>VLOOKUP(A62,ПТО!$A$2:$D$31,2,FALSE)</f>
        <v>#N/A</v>
      </c>
      <c r="I62" s="157" t="e">
        <f>VLOOKUP(A62,ПТО!$A$2:$D$31,3,FALSE)</f>
        <v>#N/A</v>
      </c>
      <c r="J62" s="157"/>
      <c r="K62" s="111"/>
      <c r="L62" s="179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56" t="e">
        <f>VLOOKUP(A63,ПТО!$A$2:$D$31,4,FALSE)</f>
        <v>#N/A</v>
      </c>
      <c r="G63" s="156"/>
      <c r="H63" s="25" t="e">
        <f>VLOOKUP(A63,ПТО!$A$2:$D$31,2,FALSE)</f>
        <v>#N/A</v>
      </c>
      <c r="I63" s="157" t="e">
        <f>VLOOKUP(A63,ПТО!$A$2:$D$31,3,FALSE)</f>
        <v>#N/A</v>
      </c>
      <c r="J63" s="157"/>
      <c r="K63" s="111"/>
      <c r="L63" s="179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56" t="e">
        <f>VLOOKUP(A64,ПТО!$A$2:$D$31,4,FALSE)</f>
        <v>#N/A</v>
      </c>
      <c r="G64" s="156"/>
      <c r="H64" s="25" t="e">
        <f>VLOOKUP(A64,ПТО!$A$2:$D$31,2,FALSE)</f>
        <v>#N/A</v>
      </c>
      <c r="I64" s="157" t="e">
        <f>VLOOKUP(A64,ПТО!$A$2:$D$31,3,FALSE)</f>
        <v>#N/A</v>
      </c>
      <c r="J64" s="157"/>
      <c r="K64" s="111"/>
      <c r="L64" s="179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56" t="e">
        <f>VLOOKUP(A65,ПТО!$A$2:$D$31,4,FALSE)</f>
        <v>#N/A</v>
      </c>
      <c r="G65" s="156"/>
      <c r="H65" s="25" t="e">
        <f>VLOOKUP(A65,ПТО!$A$2:$D$31,2,FALSE)</f>
        <v>#N/A</v>
      </c>
      <c r="I65" s="157" t="e">
        <f>VLOOKUP(A65,ПТО!$A$2:$D$31,3,FALSE)</f>
        <v>#N/A</v>
      </c>
      <c r="J65" s="157"/>
      <c r="K65" s="111"/>
      <c r="L65" s="179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56" t="e">
        <f>VLOOKUP(A66,ПТО!$A$2:$D$31,4,FALSE)</f>
        <v>#N/A</v>
      </c>
      <c r="G66" s="156"/>
      <c r="H66" s="25" t="e">
        <f>VLOOKUP(A66,ПТО!$A$2:$D$31,2,FALSE)</f>
        <v>#N/A</v>
      </c>
      <c r="I66" s="157" t="e">
        <f>VLOOKUP(A66,ПТО!$A$2:$D$31,3,FALSE)</f>
        <v>#N/A</v>
      </c>
      <c r="J66" s="157"/>
      <c r="K66" s="111"/>
      <c r="L66" s="179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56" t="e">
        <f>VLOOKUP(A67,ПТО!$A$2:$D$31,4,FALSE)</f>
        <v>#N/A</v>
      </c>
      <c r="G67" s="156"/>
      <c r="H67" s="25" t="e">
        <f>VLOOKUP(A67,ПТО!$A$2:$D$31,2,FALSE)</f>
        <v>#N/A</v>
      </c>
      <c r="I67" s="157" t="e">
        <f>VLOOKUP(A67,ПТО!$A$2:$D$31,3,FALSE)</f>
        <v>#N/A</v>
      </c>
      <c r="J67" s="157"/>
      <c r="K67" s="111"/>
      <c r="L67" s="179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56" t="e">
        <f>VLOOKUP(A68,ПТО!$A$2:$D$31,4,FALSE)</f>
        <v>#N/A</v>
      </c>
      <c r="G68" s="156"/>
      <c r="H68" s="25" t="e">
        <f>VLOOKUP(A68,ПТО!$A$2:$D$31,2,FALSE)</f>
        <v>#N/A</v>
      </c>
      <c r="I68" s="157" t="e">
        <f>VLOOKUP(A68,ПТО!$A$2:$D$31,3,FALSE)</f>
        <v>#N/A</v>
      </c>
      <c r="J68" s="157"/>
      <c r="K68" s="111"/>
      <c r="L68" s="179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56" t="e">
        <f>VLOOKUP(A69,ПТО!$A$2:$D$31,4,FALSE)</f>
        <v>#N/A</v>
      </c>
      <c r="G69" s="156"/>
      <c r="H69" s="25" t="e">
        <f>VLOOKUP(A69,ПТО!$A$2:$D$31,2,FALSE)</f>
        <v>#N/A</v>
      </c>
      <c r="I69" s="157" t="e">
        <f>VLOOKUP(A69,ПТО!$A$2:$D$31,3,FALSE)</f>
        <v>#N/A</v>
      </c>
      <c r="J69" s="157"/>
      <c r="K69" s="111"/>
      <c r="L69" s="179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56" t="e">
        <f>VLOOKUP(A70,ПТО!$A$2:$D$31,4,FALSE)</f>
        <v>#N/A</v>
      </c>
      <c r="G70" s="156"/>
      <c r="H70" s="25" t="e">
        <f>VLOOKUP(A70,ПТО!$A$2:$D$31,2,FALSE)</f>
        <v>#N/A</v>
      </c>
      <c r="I70" s="157" t="e">
        <f>VLOOKUP(A70,ПТО!$A$2:$D$31,3,FALSE)</f>
        <v>#N/A</v>
      </c>
      <c r="J70" s="157"/>
      <c r="K70" s="111"/>
      <c r="L70" s="179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56" t="e">
        <f>VLOOKUP(A71,ПТО!$A$2:$D$31,4,FALSE)</f>
        <v>#N/A</v>
      </c>
      <c r="G71" s="156"/>
      <c r="H71" s="25" t="e">
        <f>VLOOKUP(A71,ПТО!$A$2:$D$31,2,FALSE)</f>
        <v>#N/A</v>
      </c>
      <c r="I71" s="157" t="e">
        <f>VLOOKUP(A71,ПТО!$A$2:$D$31,3,FALSE)</f>
        <v>#N/A</v>
      </c>
      <c r="J71" s="157"/>
      <c r="K71" s="118"/>
      <c r="L71" s="179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56" t="e">
        <f>VLOOKUP(A72,ПТО!$A$2:$D$31,4,FALSE)</f>
        <v>#N/A</v>
      </c>
      <c r="G72" s="156"/>
      <c r="H72" s="25" t="e">
        <f>VLOOKUP(A72,ПТО!$A$2:$D$31,2,FALSE)</f>
        <v>#N/A</v>
      </c>
      <c r="I72" s="157" t="e">
        <f>VLOOKUP(A72,ПТО!$A$2:$D$31,3,FALSE)</f>
        <v>#N/A</v>
      </c>
      <c r="J72" s="157"/>
      <c r="K72" s="111"/>
      <c r="L72" s="179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3" t="s">
        <v>27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11"/>
      <c r="L75" s="162"/>
      <c r="M75" s="111"/>
      <c r="N75" s="111"/>
      <c r="O75" s="71" t="s">
        <v>98</v>
      </c>
    </row>
    <row r="76" spans="1:16384" ht="18.75" customHeight="1" outlineLevel="1">
      <c r="A76" s="173" t="s">
        <v>28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11"/>
      <c r="L76" s="162"/>
      <c r="M76" s="111"/>
      <c r="N76" s="111"/>
      <c r="O76" s="71" t="s">
        <v>99</v>
      </c>
    </row>
    <row r="77" spans="1:16384" ht="21.75" customHeight="1" outlineLevel="1">
      <c r="A77" s="173" t="s">
        <v>29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11"/>
      <c r="L77" s="162"/>
      <c r="M77" s="111"/>
      <c r="N77" s="111"/>
      <c r="O77" s="71" t="s">
        <v>100</v>
      </c>
    </row>
    <row r="78" spans="1:16384" ht="18.75" customHeight="1" outlineLevel="1">
      <c r="A78" s="173" t="s">
        <v>30</v>
      </c>
      <c r="B78" s="173"/>
      <c r="C78" s="173"/>
      <c r="D78" s="173"/>
      <c r="E78" s="173"/>
      <c r="F78" s="173"/>
      <c r="G78" s="173"/>
      <c r="H78" s="173"/>
      <c r="I78" s="173"/>
      <c r="J78" s="98">
        <f>VLOOKUP(O78,АО,3,FALSE)</f>
        <v>0</v>
      </c>
      <c r="K78" s="111"/>
      <c r="L78" s="162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63" t="s">
        <v>2</v>
      </c>
      <c r="B81" s="163"/>
      <c r="C81" s="163"/>
      <c r="D81" s="163"/>
      <c r="E81" s="163"/>
      <c r="F81" s="163"/>
      <c r="G81" s="163"/>
      <c r="H81" s="163"/>
      <c r="I81" s="163"/>
      <c r="J81" s="98">
        <f t="shared" ref="J81:J90" si="2">VLOOKUP(O81,АО,3,FALSE)</f>
        <v>0</v>
      </c>
      <c r="K81" s="111"/>
      <c r="L81" s="180"/>
      <c r="M81" s="111"/>
      <c r="N81" s="111"/>
      <c r="O81" s="71" t="s">
        <v>102</v>
      </c>
    </row>
    <row r="82" spans="1:15" outlineLevel="1">
      <c r="A82" s="163" t="s">
        <v>3</v>
      </c>
      <c r="B82" s="163"/>
      <c r="C82" s="163"/>
      <c r="D82" s="163"/>
      <c r="E82" s="163"/>
      <c r="F82" s="163"/>
      <c r="G82" s="163"/>
      <c r="H82" s="163"/>
      <c r="I82" s="163"/>
      <c r="J82" s="98">
        <f t="shared" si="2"/>
        <v>0</v>
      </c>
      <c r="K82" s="111"/>
      <c r="L82" s="180"/>
      <c r="M82" s="111"/>
      <c r="N82" s="111"/>
      <c r="O82" s="71" t="s">
        <v>103</v>
      </c>
    </row>
    <row r="83" spans="1:15" outlineLevel="1">
      <c r="A83" s="170" t="s">
        <v>4</v>
      </c>
      <c r="B83" s="171"/>
      <c r="C83" s="171"/>
      <c r="D83" s="171"/>
      <c r="E83" s="171"/>
      <c r="F83" s="171"/>
      <c r="G83" s="171"/>
      <c r="H83" s="171"/>
      <c r="I83" s="172"/>
      <c r="J83" s="98">
        <f t="shared" si="2"/>
        <v>44137.21</v>
      </c>
      <c r="K83" s="111"/>
      <c r="L83" s="180"/>
      <c r="M83" s="111"/>
      <c r="N83" s="111"/>
      <c r="O83" s="71" t="s">
        <v>104</v>
      </c>
    </row>
    <row r="84" spans="1:15" outlineLevel="1">
      <c r="A84" s="170" t="s">
        <v>16</v>
      </c>
      <c r="B84" s="171"/>
      <c r="C84" s="171"/>
      <c r="D84" s="171"/>
      <c r="E84" s="171"/>
      <c r="F84" s="171"/>
      <c r="G84" s="171"/>
      <c r="H84" s="171"/>
      <c r="I84" s="172"/>
      <c r="J84" s="98">
        <f t="shared" si="2"/>
        <v>0</v>
      </c>
      <c r="K84" s="111"/>
      <c r="L84" s="180"/>
      <c r="M84" s="111"/>
      <c r="N84" s="111"/>
      <c r="O84" s="71" t="s">
        <v>105</v>
      </c>
    </row>
    <row r="85" spans="1:15" outlineLevel="1">
      <c r="A85" s="170" t="s">
        <v>17</v>
      </c>
      <c r="B85" s="171"/>
      <c r="C85" s="171"/>
      <c r="D85" s="171"/>
      <c r="E85" s="171"/>
      <c r="F85" s="171"/>
      <c r="G85" s="171"/>
      <c r="H85" s="171"/>
      <c r="I85" s="172"/>
      <c r="J85" s="98">
        <f t="shared" si="2"/>
        <v>0</v>
      </c>
      <c r="K85" s="111"/>
      <c r="L85" s="180"/>
      <c r="M85" s="111"/>
      <c r="N85" s="111"/>
      <c r="O85" s="71" t="s">
        <v>106</v>
      </c>
    </row>
    <row r="86" spans="1:15" outlineLevel="1">
      <c r="A86" s="170" t="s">
        <v>18</v>
      </c>
      <c r="B86" s="171"/>
      <c r="C86" s="171"/>
      <c r="D86" s="171"/>
      <c r="E86" s="171"/>
      <c r="F86" s="171"/>
      <c r="G86" s="171"/>
      <c r="H86" s="171"/>
      <c r="I86" s="172"/>
      <c r="J86" s="98">
        <f t="shared" si="2"/>
        <v>57423.8</v>
      </c>
      <c r="K86" s="111"/>
      <c r="L86" s="180"/>
      <c r="M86" s="111"/>
      <c r="N86" s="111"/>
      <c r="O86" s="71" t="s">
        <v>107</v>
      </c>
    </row>
    <row r="87" spans="1:15" ht="18.75" customHeight="1" outlineLevel="1">
      <c r="A87" s="170" t="s">
        <v>27</v>
      </c>
      <c r="B87" s="171"/>
      <c r="C87" s="171"/>
      <c r="D87" s="171"/>
      <c r="E87" s="171"/>
      <c r="F87" s="171"/>
      <c r="G87" s="171"/>
      <c r="H87" s="171"/>
      <c r="I87" s="172"/>
      <c r="J87" s="8">
        <f t="shared" si="2"/>
        <v>0</v>
      </c>
      <c r="K87" s="111"/>
      <c r="L87" s="180"/>
      <c r="M87" s="111"/>
      <c r="N87" s="111"/>
      <c r="O87" s="71" t="s">
        <v>108</v>
      </c>
    </row>
    <row r="88" spans="1:15" ht="18.75" customHeight="1" outlineLevel="1">
      <c r="A88" s="170" t="s">
        <v>28</v>
      </c>
      <c r="B88" s="171"/>
      <c r="C88" s="171"/>
      <c r="D88" s="171"/>
      <c r="E88" s="171"/>
      <c r="F88" s="171"/>
      <c r="G88" s="171"/>
      <c r="H88" s="171"/>
      <c r="I88" s="172"/>
      <c r="J88" s="8">
        <f t="shared" si="2"/>
        <v>0</v>
      </c>
      <c r="K88" s="111"/>
      <c r="L88" s="180"/>
      <c r="M88" s="111"/>
      <c r="N88" s="111"/>
      <c r="O88" s="71" t="s">
        <v>109</v>
      </c>
    </row>
    <row r="89" spans="1:15" ht="18.75" customHeight="1" outlineLevel="1">
      <c r="A89" s="170" t="s">
        <v>29</v>
      </c>
      <c r="B89" s="171"/>
      <c r="C89" s="171"/>
      <c r="D89" s="171"/>
      <c r="E89" s="171"/>
      <c r="F89" s="171"/>
      <c r="G89" s="171"/>
      <c r="H89" s="171"/>
      <c r="I89" s="172"/>
      <c r="J89" s="8">
        <f t="shared" si="2"/>
        <v>0</v>
      </c>
      <c r="K89" s="111"/>
      <c r="L89" s="180"/>
      <c r="M89" s="111"/>
      <c r="N89" s="111"/>
      <c r="O89" s="71" t="s">
        <v>110</v>
      </c>
    </row>
    <row r="90" spans="1:15" ht="18.75" customHeight="1" outlineLevel="1">
      <c r="A90" s="170" t="s">
        <v>30</v>
      </c>
      <c r="B90" s="171"/>
      <c r="C90" s="171"/>
      <c r="D90" s="171"/>
      <c r="E90" s="171"/>
      <c r="F90" s="171"/>
      <c r="G90" s="171"/>
      <c r="H90" s="171"/>
      <c r="I90" s="172"/>
      <c r="J90" s="98">
        <f t="shared" si="2"/>
        <v>0</v>
      </c>
      <c r="K90" s="111"/>
      <c r="L90" s="180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4" t="s">
        <v>48</v>
      </c>
      <c r="B93" s="164"/>
      <c r="C93" s="164"/>
      <c r="D93" s="167" t="s">
        <v>49</v>
      </c>
      <c r="E93" s="167"/>
      <c r="F93" s="10" t="s">
        <v>50</v>
      </c>
      <c r="G93" s="164" t="s">
        <v>51</v>
      </c>
      <c r="H93" s="164"/>
      <c r="I93" s="164"/>
      <c r="J93" s="164"/>
      <c r="K93" s="111"/>
      <c r="L93" s="111"/>
      <c r="M93" s="111"/>
      <c r="N93" s="111"/>
    </row>
    <row r="94" spans="1:15" outlineLevel="1">
      <c r="A94" s="168" t="str">
        <f>IF(VLOOKUP("эл",АО,3,FALSE)&gt;0,"Электроснабжение",0)</f>
        <v>Электроснабжение</v>
      </c>
      <c r="B94" s="168"/>
      <c r="C94" s="168"/>
      <c r="D94" s="166" t="str">
        <f>IF(VLOOKUP("эл",АО,3,FALSE)&gt;0,VLOOKUP("эл",АО,3,FALSE),0)</f>
        <v>Предоставляется</v>
      </c>
      <c r="E94" s="166"/>
      <c r="F94" s="13" t="str">
        <f>IF(VLOOKUP("эл",АО,3,FALSE)&gt;0,VLOOKUP("эл",АО,4,FALSE),0)</f>
        <v>кВт*ч</v>
      </c>
      <c r="G94" s="165">
        <f>VLOOKUP("эл",АО,5,FALSE)</f>
        <v>112376.5</v>
      </c>
      <c r="H94" s="166"/>
      <c r="I94" s="166"/>
      <c r="J94" s="166"/>
      <c r="K94" s="1" t="str">
        <f>VLOOKUP("эл",АО,2,FALSE)</f>
        <v>Электроснабжение</v>
      </c>
      <c r="L94" s="181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93647.08</v>
      </c>
      <c r="L95" s="181"/>
      <c r="O95" s="1" t="s">
        <v>112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107338.42</v>
      </c>
      <c r="L96" s="181"/>
      <c r="O96" s="1" t="s">
        <v>113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5038.0800000000017</v>
      </c>
      <c r="L97" s="181"/>
      <c r="O97" s="1" t="s">
        <v>114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112376.5</v>
      </c>
      <c r="L98" s="181"/>
      <c r="O98" s="1" t="s">
        <v>115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112376.5</v>
      </c>
      <c r="L99" s="181"/>
      <c r="O99" s="1" t="s">
        <v>116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81"/>
      <c r="O100" s="1" t="s">
        <v>117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81"/>
      <c r="O101" s="1" t="s">
        <v>118</v>
      </c>
    </row>
    <row r="102" spans="1:15" ht="28.5" customHeight="1" outlineLevel="1">
      <c r="A102" s="168" t="str">
        <f>IF(VLOOKUP("хвс",АО,3,FALSE)&gt;0,"Холодное водоснабжение",0)</f>
        <v>Холодное водоснабжение</v>
      </c>
      <c r="B102" s="168"/>
      <c r="C102" s="168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5">
        <f>VLOOKUP("хвс",АО,5,FALSE)</f>
        <v>32683.01</v>
      </c>
      <c r="H102" s="166"/>
      <c r="I102" s="166"/>
      <c r="J102" s="166"/>
      <c r="L102" s="181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2472.58</v>
      </c>
      <c r="L103" s="181"/>
      <c r="O103" s="1" t="s">
        <v>121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30661.22</v>
      </c>
      <c r="L104" s="181"/>
      <c r="O104" s="1" t="s">
        <v>122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2021.7899999999972</v>
      </c>
      <c r="L105" s="181"/>
      <c r="O105" s="1" t="s">
        <v>123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32683.01</v>
      </c>
      <c r="L106" s="181"/>
      <c r="O106" s="1" t="s">
        <v>124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32683.01</v>
      </c>
      <c r="L107" s="181"/>
      <c r="O107" s="1" t="s">
        <v>125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81"/>
      <c r="O108" s="1" t="s">
        <v>126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81"/>
      <c r="O109" s="1" t="s">
        <v>127</v>
      </c>
    </row>
    <row r="110" spans="1:15" ht="27" customHeight="1" outlineLevel="1">
      <c r="A110" s="168" t="str">
        <f>IF(VLOOKUP("воо",АО,3,FALSE)&gt;0,"Водоотведение",0)</f>
        <v>Водоотведение</v>
      </c>
      <c r="B110" s="168"/>
      <c r="C110" s="168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5">
        <f>VLOOKUP("воо",АО,5,FALSE)</f>
        <v>67424.84</v>
      </c>
      <c r="H110" s="166"/>
      <c r="I110" s="166"/>
      <c r="J110" s="166"/>
      <c r="L110" s="181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4203.54</v>
      </c>
      <c r="L111" s="181"/>
      <c r="O111" s="1" t="s">
        <v>129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63127.88</v>
      </c>
      <c r="L112" s="181"/>
      <c r="O112" s="1" t="s">
        <v>130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4296.9599999999991</v>
      </c>
      <c r="L113" s="181"/>
      <c r="O113" s="1" t="s">
        <v>131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67424.84</v>
      </c>
      <c r="L114" s="181"/>
      <c r="O114" s="1" t="s">
        <v>132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67424.84</v>
      </c>
      <c r="L115" s="181"/>
      <c r="O115" s="1" t="s">
        <v>133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81"/>
      <c r="O116" s="1" t="s">
        <v>134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81"/>
      <c r="O117" s="1" t="s">
        <v>135</v>
      </c>
    </row>
    <row r="118" spans="1:15" ht="32.25" hidden="1" customHeight="1" outlineLevel="1">
      <c r="A118" s="168">
        <f>IF(VLOOKUP("тко",АО,3,FALSE)&gt;0,"Обращение с ТКО",0)</f>
        <v>0</v>
      </c>
      <c r="B118" s="168"/>
      <c r="C118" s="168"/>
      <c r="D118" s="166">
        <f>IF(VLOOKUP("тко",АО,3,FALSE)&gt;0,VLOOKUP("тко",АО,3,FALSE),0)</f>
        <v>0</v>
      </c>
      <c r="E118" s="166"/>
      <c r="F118" s="13">
        <f>IF(VLOOKUP("тко",АО,3,FALSE)&gt;0,VLOOKUP("тко",АО,4,FALSE),0)</f>
        <v>0</v>
      </c>
      <c r="G118" s="165">
        <f>VLOOKUP("тко",АО,5,FALSE)</f>
        <v>0</v>
      </c>
      <c r="H118" s="166"/>
      <c r="I118" s="166"/>
      <c r="J118" s="166"/>
      <c r="L118" s="48"/>
    </row>
    <row r="119" spans="1:15" ht="32.25" hidden="1" customHeight="1" outlineLevel="2">
      <c r="A119" s="163">
        <f t="shared" ref="A119:A125" si="8">IF(VLOOKUP("тко",АО,3,FALSE)&gt;0,VLOOKUP(O119,АО,2,FALSE),0)</f>
        <v>0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63">
        <f t="shared" si="8"/>
        <v>0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63">
        <f t="shared" si="8"/>
        <v>0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63">
        <f t="shared" si="8"/>
        <v>0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63">
        <f t="shared" si="8"/>
        <v>0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63">
        <f t="shared" si="8"/>
        <v>0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63">
        <f t="shared" si="8"/>
        <v>0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68" t="str">
        <f>IF(VLOOKUP("гвс",АО,3,FALSE)&gt;0,"Горячее водоснабжение",0)</f>
        <v>Горячее водоснабжение</v>
      </c>
      <c r="B126" s="168"/>
      <c r="C126" s="168"/>
      <c r="D126" s="166" t="str">
        <f>IF(VLOOKUP("гвс",АО,3,FALSE)&gt;0,VLOOKUP("гвс",АО,3,FALSE),0)</f>
        <v>Предоставляется</v>
      </c>
      <c r="E126" s="166"/>
      <c r="F126" s="13" t="str">
        <f>IF(VLOOKUP("гвс",АО,3,FALSE)&gt;0,VLOOKUP("гвс",АО,4,FALSE),0)</f>
        <v>куб.м.</v>
      </c>
      <c r="G126" s="165">
        <f>VLOOKUP("гвс",АО,5,FALSE)</f>
        <v>22206.06</v>
      </c>
      <c r="H126" s="166"/>
      <c r="I126" s="166"/>
      <c r="J126" s="166"/>
      <c r="L126" s="48"/>
    </row>
    <row r="127" spans="1:15" ht="32.25" customHeight="1" outlineLevel="2">
      <c r="A127" s="163" t="str">
        <f t="shared" ref="A127:A133" si="10">IF(VLOOKUP("гвс",АО,3,FALSE)&gt;0,VLOOKUP(O127,АО,2,FALSE),0)</f>
        <v>Общий объем потребления, нат. показ.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1682.28</v>
      </c>
      <c r="L127" s="48"/>
      <c r="O127" s="1" t="s">
        <v>145</v>
      </c>
    </row>
    <row r="128" spans="1:15" ht="32.25" customHeight="1" outlineLevel="2">
      <c r="A128" s="163" t="str">
        <f t="shared" si="10"/>
        <v>Оплачено потребителями, руб.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20276.3</v>
      </c>
      <c r="L128" s="48"/>
      <c r="O128" s="1" t="s">
        <v>146</v>
      </c>
    </row>
    <row r="129" spans="1:15" ht="32.25" customHeight="1" outlineLevel="2">
      <c r="A129" s="163" t="str">
        <f t="shared" si="10"/>
        <v>Задолженность потребителей, руб.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1929.760000000002</v>
      </c>
      <c r="L129" s="48"/>
      <c r="O129" s="1" t="s">
        <v>147</v>
      </c>
    </row>
    <row r="130" spans="1:15" ht="32.25" customHeight="1" outlineLevel="2">
      <c r="A130" s="163" t="str">
        <f t="shared" si="10"/>
        <v>Начислено поставщиком (поставщиками) коммунального ресурса, руб.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22206.06</v>
      </c>
      <c r="L130" s="48"/>
      <c r="O130" s="1" t="s">
        <v>148</v>
      </c>
    </row>
    <row r="131" spans="1:15" ht="32.25" customHeight="1" outlineLevel="2">
      <c r="A131" s="163" t="str">
        <f t="shared" si="10"/>
        <v>Оплачено поставщику (поставщикам) коммунального ресурса, руб.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22206.06</v>
      </c>
      <c r="L131" s="48"/>
      <c r="O131" s="1" t="s">
        <v>149</v>
      </c>
    </row>
    <row r="132" spans="1:15" ht="32.25" customHeight="1" outlineLevel="2">
      <c r="A132" s="163" t="str">
        <f t="shared" si="10"/>
        <v>Задолженность перед поставщиком (поставщиками) коммунального ресурса, руб.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63" t="str">
        <f t="shared" si="10"/>
        <v>Размер пени и штрафов, уплаченных поставщику (поставщикам) коммунального ресурса, руб.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68">
        <f>IF(VLOOKUP("отопление",АО,3,FALSE)&gt;0,"Отопление",0)</f>
        <v>0</v>
      </c>
      <c r="B134" s="168"/>
      <c r="C134" s="168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5">
        <f>VLOOKUP("отопление",АО,5,FALSE)</f>
        <v>0</v>
      </c>
      <c r="H134" s="166"/>
      <c r="I134" s="166"/>
      <c r="J134" s="166"/>
      <c r="L134" s="48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63" t="s">
        <v>45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169</v>
      </c>
    </row>
    <row r="145" spans="1:15" ht="18.75" customHeight="1" outlineLevel="1">
      <c r="A145" s="163" t="s">
        <v>46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63" t="s">
        <v>172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0</v>
      </c>
      <c r="O146" t="s">
        <v>171</v>
      </c>
    </row>
    <row r="149" spans="1:15" ht="52.5" customHeight="1">
      <c r="A149" s="159" t="s">
        <v>179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8" t="s">
        <v>181</v>
      </c>
      <c r="B154" s="158"/>
      <c r="C154" s="158"/>
      <c r="D154" s="158"/>
      <c r="E154" s="27">
        <f>ПТО!G1</f>
        <v>62480.86</v>
      </c>
    </row>
    <row r="155" spans="1:15" ht="34.5" customHeight="1">
      <c r="A155" s="160" t="s">
        <v>185</v>
      </c>
      <c r="B155" s="160"/>
      <c r="C155" s="160"/>
      <c r="D155" s="160"/>
      <c r="E155" s="28">
        <f>J13</f>
        <v>74536.38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19</v>
      </c>
      <c r="B157" s="161"/>
      <c r="C157" s="161"/>
      <c r="D157" s="161"/>
      <c r="E157" s="161"/>
      <c r="F157" s="161" t="s">
        <v>20</v>
      </c>
      <c r="G157" s="161"/>
      <c r="H157" s="20" t="s">
        <v>57</v>
      </c>
      <c r="I157" s="161" t="s">
        <v>21</v>
      </c>
      <c r="J157" s="161"/>
    </row>
    <row r="158" spans="1:15" ht="29.25" customHeight="1">
      <c r="A158" s="155" t="str">
        <f t="shared" ref="A158:A163" si="14">IF(N158&gt;0,N158,0)</f>
        <v>Техническое обслуживание охранной сигнализации.</v>
      </c>
      <c r="B158" s="155"/>
      <c r="C158" s="155"/>
      <c r="D158" s="155"/>
      <c r="E158" s="155"/>
      <c r="F158" s="156">
        <f t="shared" ref="F158:F163" si="15">IF(ISERROR(VLOOKUP(A158,$A$28:$J$72,6,FALSE)),0,VLOOKUP(A158,$A$28:$J$72,6,FALSE))</f>
        <v>5508</v>
      </c>
      <c r="G158" s="156"/>
      <c r="H158" s="24" t="str">
        <f t="shared" ref="H158:H187" si="16">VLOOKUP(A158,$A$28:$J$72,8,FALSE)</f>
        <v>ежемесячно</v>
      </c>
      <c r="I158" s="157">
        <f t="shared" ref="I158:I161" si="17">VLOOKUP(A158,$A$28:$J$72,9,FALSE)</f>
        <v>12</v>
      </c>
      <c r="J158" s="15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5" t="str">
        <f t="shared" si="14"/>
        <v>Ремонт прибора учета тепловой энергии.</v>
      </c>
      <c r="B159" s="155"/>
      <c r="C159" s="155"/>
      <c r="D159" s="155"/>
      <c r="E159" s="155"/>
      <c r="F159" s="156">
        <f t="shared" si="15"/>
        <v>3382.5</v>
      </c>
      <c r="G159" s="156"/>
      <c r="H159" s="24" t="str">
        <f t="shared" si="16"/>
        <v>разово</v>
      </c>
      <c r="I159" s="157">
        <f t="shared" si="17"/>
        <v>1</v>
      </c>
      <c r="J159" s="157"/>
      <c r="M159" s="22" t="s">
        <v>72</v>
      </c>
      <c r="N159" s="1" t="str">
        <v>Ремонт прибора учета тепловой энергии.</v>
      </c>
    </row>
    <row r="160" spans="1:15" ht="28.5" customHeight="1">
      <c r="A160" s="155" t="str">
        <f t="shared" si="14"/>
        <v>Приобретение и замена лучевых светильников (3 штуки).</v>
      </c>
      <c r="B160" s="155"/>
      <c r="C160" s="155"/>
      <c r="D160" s="155"/>
      <c r="E160" s="155"/>
      <c r="F160" s="156">
        <f t="shared" si="15"/>
        <v>2700</v>
      </c>
      <c r="G160" s="156"/>
      <c r="H160" s="24" t="str">
        <f t="shared" si="16"/>
        <v>разово</v>
      </c>
      <c r="I160" s="157">
        <f t="shared" si="17"/>
        <v>1</v>
      </c>
      <c r="J160" s="157"/>
      <c r="M160" s="22" t="s">
        <v>72</v>
      </c>
      <c r="N160" s="1" t="str">
        <v>Приобретение и замена лучевых светильников (3 штуки).</v>
      </c>
    </row>
    <row r="161" spans="1:14" ht="28.5" customHeight="1">
      <c r="A161" s="155" t="str">
        <f>IF(N161&gt;0,N161,0)</f>
        <v>Благоустройство придомовой территории (приобретение материалов для покраски песочниц).</v>
      </c>
      <c r="B161" s="155"/>
      <c r="C161" s="155"/>
      <c r="D161" s="155"/>
      <c r="E161" s="155"/>
      <c r="F161" s="156">
        <f t="shared" si="15"/>
        <v>750</v>
      </c>
      <c r="G161" s="156"/>
      <c r="H161" s="24" t="str">
        <f t="shared" si="16"/>
        <v>разово</v>
      </c>
      <c r="I161" s="157">
        <f t="shared" si="17"/>
        <v>1</v>
      </c>
      <c r="J161" s="157"/>
      <c r="M161" s="22" t="s">
        <v>72</v>
      </c>
      <c r="N161" s="1" t="str">
        <v>Благоустройство придомовой территории (приобретение материалов для покраски песочниц).</v>
      </c>
    </row>
    <row r="162" spans="1:14" ht="28.5" customHeight="1">
      <c r="A162" s="155" t="str">
        <f t="shared" si="14"/>
        <v>Приобретение и установка ветровой планки на торец дома.</v>
      </c>
      <c r="B162" s="155"/>
      <c r="C162" s="155"/>
      <c r="D162" s="155"/>
      <c r="E162" s="155"/>
      <c r="F162" s="156">
        <f t="shared" si="15"/>
        <v>7600</v>
      </c>
      <c r="G162" s="156"/>
      <c r="H162" s="24" t="str">
        <f t="shared" si="16"/>
        <v>разово</v>
      </c>
      <c r="I162" s="157">
        <f>VLOOKUP(A162,$A$28:$J$72,9,FALSE)</f>
        <v>1</v>
      </c>
      <c r="J162" s="157"/>
      <c r="M162" s="22" t="s">
        <v>72</v>
      </c>
      <c r="N162" s="1" t="str">
        <v>Приобретение и установка ветровой планки на торец дома.</v>
      </c>
    </row>
    <row r="163" spans="1:14" ht="28.5" customHeight="1">
      <c r="A163" s="155" t="str">
        <f t="shared" si="14"/>
        <v>Приобретение и установка информационного стенда на детскую площадку.</v>
      </c>
      <c r="B163" s="155"/>
      <c r="C163" s="155"/>
      <c r="D163" s="155"/>
      <c r="E163" s="155"/>
      <c r="F163" s="156">
        <f t="shared" si="15"/>
        <v>542.4</v>
      </c>
      <c r="G163" s="156"/>
      <c r="H163" s="24" t="str">
        <f t="shared" si="16"/>
        <v>разово</v>
      </c>
      <c r="I163" s="157">
        <f>VLOOKUP(A163,$A$28:$J$72,9,FALSE)</f>
        <v>1</v>
      </c>
      <c r="J163" s="157"/>
      <c r="M163" s="22" t="s">
        <v>72</v>
      </c>
      <c r="N163" s="1" t="str">
        <v>Приобретение и установка информационного стенда на детскую площадку.</v>
      </c>
    </row>
    <row r="164" spans="1:14" ht="28.5" hidden="1" customHeight="1">
      <c r="A164" s="155">
        <f t="shared" ref="A164:A187" si="18">IF(N164&gt;0,N164,0)</f>
        <v>0</v>
      </c>
      <c r="B164" s="155"/>
      <c r="C164" s="155"/>
      <c r="D164" s="155"/>
      <c r="E164" s="155"/>
      <c r="F164" s="156">
        <f t="shared" ref="F164:F187" si="19">IF(ISERROR(VLOOKUP(A164,$A$28:$J$72,6,FALSE)),0,VLOOKUP(A164,$A$28:$J$72,6,FALSE))</f>
        <v>0</v>
      </c>
      <c r="G164" s="156"/>
      <c r="H164" s="29" t="e">
        <f t="shared" si="16"/>
        <v>#N/A</v>
      </c>
      <c r="I164" s="157" t="e">
        <f t="shared" ref="I164:I187" si="20">VLOOKUP(A164,$A$28:$J$72,9,FALSE)</f>
        <v>#N/A</v>
      </c>
      <c r="J164" s="157"/>
      <c r="M164" s="22" t="s">
        <v>72</v>
      </c>
      <c r="N164" s="1">
        <v>0</v>
      </c>
    </row>
    <row r="165" spans="1:14" ht="28.5" hidden="1" customHeight="1">
      <c r="A165" s="155">
        <f t="shared" si="18"/>
        <v>0</v>
      </c>
      <c r="B165" s="155"/>
      <c r="C165" s="155"/>
      <c r="D165" s="155"/>
      <c r="E165" s="155"/>
      <c r="F165" s="156">
        <f t="shared" si="19"/>
        <v>0</v>
      </c>
      <c r="G165" s="156"/>
      <c r="H165" s="29" t="e">
        <f t="shared" si="16"/>
        <v>#N/A</v>
      </c>
      <c r="I165" s="157" t="e">
        <f t="shared" si="20"/>
        <v>#N/A</v>
      </c>
      <c r="J165" s="157"/>
      <c r="M165" s="22" t="s">
        <v>72</v>
      </c>
      <c r="N165" s="1">
        <v>0</v>
      </c>
    </row>
    <row r="166" spans="1:14" ht="28.5" hidden="1" customHeight="1">
      <c r="A166" s="155">
        <f t="shared" si="18"/>
        <v>0</v>
      </c>
      <c r="B166" s="155"/>
      <c r="C166" s="155"/>
      <c r="D166" s="155"/>
      <c r="E166" s="155"/>
      <c r="F166" s="156">
        <f t="shared" si="19"/>
        <v>0</v>
      </c>
      <c r="G166" s="156"/>
      <c r="H166" s="29" t="e">
        <f t="shared" si="16"/>
        <v>#N/A</v>
      </c>
      <c r="I166" s="157" t="e">
        <f t="shared" si="20"/>
        <v>#N/A</v>
      </c>
      <c r="J166" s="157"/>
      <c r="M166" s="22" t="s">
        <v>72</v>
      </c>
      <c r="N166" s="1">
        <v>0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56">
        <f t="shared" si="19"/>
        <v>0</v>
      </c>
      <c r="G167" s="156"/>
      <c r="H167" s="29" t="e">
        <f t="shared" si="16"/>
        <v>#N/A</v>
      </c>
      <c r="I167" s="157" t="e">
        <f t="shared" si="20"/>
        <v>#N/A</v>
      </c>
      <c r="J167" s="157"/>
      <c r="M167" s="22" t="s">
        <v>72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56">
        <f t="shared" si="19"/>
        <v>0</v>
      </c>
      <c r="G168" s="156"/>
      <c r="H168" s="29" t="e">
        <f t="shared" si="16"/>
        <v>#N/A</v>
      </c>
      <c r="I168" s="157" t="e">
        <f t="shared" si="20"/>
        <v>#N/A</v>
      </c>
      <c r="J168" s="157"/>
      <c r="M168" s="22" t="s">
        <v>72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56">
        <f t="shared" si="19"/>
        <v>0</v>
      </c>
      <c r="G169" s="156"/>
      <c r="H169" s="29" t="e">
        <f t="shared" si="16"/>
        <v>#N/A</v>
      </c>
      <c r="I169" s="157" t="e">
        <f t="shared" si="20"/>
        <v>#N/A</v>
      </c>
      <c r="J169" s="157"/>
      <c r="M169" s="22" t="s">
        <v>72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56">
        <f t="shared" si="19"/>
        <v>0</v>
      </c>
      <c r="G170" s="156"/>
      <c r="H170" s="29" t="e">
        <f t="shared" si="16"/>
        <v>#N/A</v>
      </c>
      <c r="I170" s="157" t="e">
        <f t="shared" si="20"/>
        <v>#N/A</v>
      </c>
      <c r="J170" s="157"/>
      <c r="M170" s="22" t="s">
        <v>72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56">
        <f t="shared" si="19"/>
        <v>0</v>
      </c>
      <c r="G171" s="156"/>
      <c r="H171" s="29" t="e">
        <f t="shared" si="16"/>
        <v>#N/A</v>
      </c>
      <c r="I171" s="157" t="e">
        <f t="shared" si="20"/>
        <v>#N/A</v>
      </c>
      <c r="J171" s="157"/>
      <c r="M171" s="22" t="s">
        <v>72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56">
        <f t="shared" si="19"/>
        <v>0</v>
      </c>
      <c r="G172" s="156"/>
      <c r="H172" s="29" t="e">
        <f t="shared" si="16"/>
        <v>#N/A</v>
      </c>
      <c r="I172" s="157" t="e">
        <f t="shared" si="20"/>
        <v>#N/A</v>
      </c>
      <c r="J172" s="157"/>
      <c r="M172" s="22" t="s">
        <v>72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56">
        <f t="shared" si="19"/>
        <v>0</v>
      </c>
      <c r="G173" s="156"/>
      <c r="H173" s="29" t="e">
        <f t="shared" si="16"/>
        <v>#N/A</v>
      </c>
      <c r="I173" s="157" t="e">
        <f t="shared" si="20"/>
        <v>#N/A</v>
      </c>
      <c r="J173" s="157"/>
      <c r="M173" s="22" t="s">
        <v>72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56">
        <f t="shared" si="19"/>
        <v>0</v>
      </c>
      <c r="G174" s="156"/>
      <c r="H174" s="29" t="e">
        <f t="shared" si="16"/>
        <v>#N/A</v>
      </c>
      <c r="I174" s="157" t="e">
        <f t="shared" si="20"/>
        <v>#N/A</v>
      </c>
      <c r="J174" s="157"/>
      <c r="M174" s="22" t="s">
        <v>72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56">
        <f t="shared" si="19"/>
        <v>0</v>
      </c>
      <c r="G175" s="156"/>
      <c r="H175" s="29" t="e">
        <f t="shared" si="16"/>
        <v>#N/A</v>
      </c>
      <c r="I175" s="157" t="e">
        <f t="shared" si="20"/>
        <v>#N/A</v>
      </c>
      <c r="J175" s="157"/>
      <c r="M175" s="22" t="s">
        <v>72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56">
        <f t="shared" si="19"/>
        <v>0</v>
      </c>
      <c r="G176" s="156"/>
      <c r="H176" s="29" t="e">
        <f t="shared" si="16"/>
        <v>#N/A</v>
      </c>
      <c r="I176" s="157" t="e">
        <f t="shared" si="20"/>
        <v>#N/A</v>
      </c>
      <c r="J176" s="157"/>
      <c r="M176" s="22" t="s">
        <v>72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56">
        <f t="shared" si="19"/>
        <v>0</v>
      </c>
      <c r="G177" s="156"/>
      <c r="H177" s="29" t="e">
        <f t="shared" si="16"/>
        <v>#N/A</v>
      </c>
      <c r="I177" s="157" t="e">
        <f t="shared" si="20"/>
        <v>#N/A</v>
      </c>
      <c r="J177" s="157"/>
      <c r="M177" s="22" t="s">
        <v>72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56">
        <f t="shared" si="19"/>
        <v>0</v>
      </c>
      <c r="G178" s="156"/>
      <c r="H178" s="29" t="e">
        <f t="shared" si="16"/>
        <v>#N/A</v>
      </c>
      <c r="I178" s="157" t="e">
        <f t="shared" si="20"/>
        <v>#N/A</v>
      </c>
      <c r="J178" s="157"/>
      <c r="M178" s="22" t="s">
        <v>72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56">
        <f t="shared" si="19"/>
        <v>0</v>
      </c>
      <c r="G179" s="156"/>
      <c r="H179" s="29" t="e">
        <f t="shared" si="16"/>
        <v>#N/A</v>
      </c>
      <c r="I179" s="157" t="e">
        <f t="shared" si="20"/>
        <v>#N/A</v>
      </c>
      <c r="J179" s="157"/>
      <c r="M179" s="22" t="s">
        <v>72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56">
        <f t="shared" si="19"/>
        <v>0</v>
      </c>
      <c r="G180" s="156"/>
      <c r="H180" s="29" t="e">
        <f t="shared" si="16"/>
        <v>#N/A</v>
      </c>
      <c r="I180" s="157" t="e">
        <f t="shared" si="20"/>
        <v>#N/A</v>
      </c>
      <c r="J180" s="157"/>
      <c r="M180" s="22" t="s">
        <v>72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56">
        <f t="shared" si="19"/>
        <v>0</v>
      </c>
      <c r="G181" s="156"/>
      <c r="H181" s="29" t="e">
        <f t="shared" si="16"/>
        <v>#N/A</v>
      </c>
      <c r="I181" s="157" t="e">
        <f t="shared" si="20"/>
        <v>#N/A</v>
      </c>
      <c r="J181" s="157"/>
      <c r="M181" s="22" t="s">
        <v>72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56">
        <f t="shared" si="19"/>
        <v>0</v>
      </c>
      <c r="G182" s="156"/>
      <c r="H182" s="29" t="e">
        <f t="shared" si="16"/>
        <v>#N/A</v>
      </c>
      <c r="I182" s="157" t="e">
        <f t="shared" si="20"/>
        <v>#N/A</v>
      </c>
      <c r="J182" s="157"/>
      <c r="M182" s="22" t="s">
        <v>72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56">
        <f t="shared" si="19"/>
        <v>0</v>
      </c>
      <c r="G183" s="156"/>
      <c r="H183" s="29" t="e">
        <f t="shared" si="16"/>
        <v>#N/A</v>
      </c>
      <c r="I183" s="157" t="e">
        <f t="shared" si="20"/>
        <v>#N/A</v>
      </c>
      <c r="J183" s="157"/>
      <c r="M183" s="22" t="s">
        <v>72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56">
        <f t="shared" si="19"/>
        <v>0</v>
      </c>
      <c r="G184" s="156"/>
      <c r="H184" s="29" t="e">
        <f t="shared" si="16"/>
        <v>#N/A</v>
      </c>
      <c r="I184" s="157" t="e">
        <f t="shared" si="20"/>
        <v>#N/A</v>
      </c>
      <c r="J184" s="157"/>
      <c r="M184" s="22" t="s">
        <v>72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56">
        <f t="shared" si="19"/>
        <v>0</v>
      </c>
      <c r="G185" s="156"/>
      <c r="H185" s="29" t="e">
        <f t="shared" si="16"/>
        <v>#N/A</v>
      </c>
      <c r="I185" s="157" t="e">
        <f t="shared" si="20"/>
        <v>#N/A</v>
      </c>
      <c r="J185" s="157"/>
      <c r="M185" s="22" t="s">
        <v>72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56">
        <f t="shared" si="19"/>
        <v>0</v>
      </c>
      <c r="G186" s="156"/>
      <c r="H186" s="29" t="e">
        <f t="shared" si="16"/>
        <v>#N/A</v>
      </c>
      <c r="I186" s="157" t="e">
        <f t="shared" si="20"/>
        <v>#N/A</v>
      </c>
      <c r="J186" s="157"/>
      <c r="M186" s="22" t="s">
        <v>72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56">
        <f t="shared" si="19"/>
        <v>0</v>
      </c>
      <c r="G187" s="156"/>
      <c r="H187" s="29" t="e">
        <f t="shared" si="16"/>
        <v>#N/A</v>
      </c>
      <c r="I187" s="157" t="e">
        <f t="shared" si="20"/>
        <v>#N/A</v>
      </c>
      <c r="J187" s="157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58" t="s">
        <v>184</v>
      </c>
      <c r="B190" s="158"/>
      <c r="C190" s="158"/>
      <c r="D190" s="158"/>
      <c r="E190" s="27">
        <f>SUM(F158:G187)</f>
        <v>20482.900000000001</v>
      </c>
    </row>
    <row r="191" spans="1:14" ht="51.75" customHeight="1">
      <c r="A191" s="158" t="s">
        <v>183</v>
      </c>
      <c r="B191" s="158"/>
      <c r="C191" s="158"/>
      <c r="D191" s="158"/>
      <c r="E191" s="27">
        <f>E190+E154-E155</f>
        <v>8427.3800000000047</v>
      </c>
    </row>
    <row r="192" spans="1:14">
      <c r="A192" s="106" t="s">
        <v>173</v>
      </c>
    </row>
    <row r="193" spans="1:10" ht="62.25" customHeight="1">
      <c r="A193" s="183" t="s">
        <v>182</v>
      </c>
      <c r="B193" s="183"/>
      <c r="C193" s="183"/>
      <c r="D193" s="183"/>
      <c r="E193" s="183"/>
      <c r="F193" s="183"/>
      <c r="G193" s="183"/>
      <c r="H193" s="183"/>
      <c r="I193" s="183"/>
      <c r="J193" s="183"/>
    </row>
    <row r="194" spans="1:10">
      <c r="A194" s="182" t="str">
        <f>ПТО!F12</f>
        <v xml:space="preserve">  -  поверка (замена) манометров и термометров</v>
      </c>
      <c r="B194" s="182"/>
      <c r="C194" s="182"/>
      <c r="D194" s="182"/>
      <c r="E194" s="182"/>
      <c r="F194" s="182"/>
      <c r="G194" s="182"/>
      <c r="H194" s="50">
        <f>ПТО!G12</f>
        <v>1200</v>
      </c>
      <c r="I194" s="51" t="s">
        <v>74</v>
      </c>
    </row>
    <row r="195" spans="1:10" ht="18.75" customHeight="1">
      <c r="A195" s="182" t="str">
        <f>ПТО!F13</f>
        <v xml:space="preserve">  -  техническое обслуживание охранной сигнализации</v>
      </c>
      <c r="B195" s="182"/>
      <c r="C195" s="182"/>
      <c r="D195" s="182"/>
      <c r="E195" s="182"/>
      <c r="F195" s="182"/>
      <c r="G195" s="182"/>
      <c r="H195" s="50">
        <f>ПТО!G13</f>
        <v>5550</v>
      </c>
      <c r="I195" s="51" t="s">
        <v>74</v>
      </c>
    </row>
    <row r="196" spans="1:10" ht="18.75" hidden="1" customHeight="1">
      <c r="A196" s="182">
        <f>ПТО!F14</f>
        <v>0</v>
      </c>
      <c r="B196" s="182"/>
      <c r="C196" s="182"/>
      <c r="D196" s="182"/>
      <c r="E196" s="182"/>
      <c r="F196" s="182"/>
      <c r="G196" s="182"/>
      <c r="H196" s="50">
        <f>ПТО!G14</f>
        <v>0</v>
      </c>
      <c r="I196" s="51" t="s">
        <v>74</v>
      </c>
    </row>
    <row r="197" spans="1:10" ht="18.75" hidden="1" customHeight="1">
      <c r="A197" s="182">
        <f>ПТО!F15</f>
        <v>0</v>
      </c>
      <c r="B197" s="182"/>
      <c r="C197" s="182"/>
      <c r="D197" s="182"/>
      <c r="E197" s="182"/>
      <c r="F197" s="182"/>
      <c r="G197" s="182"/>
      <c r="H197" s="50">
        <f>ПТО!G15</f>
        <v>0</v>
      </c>
      <c r="I197" s="51" t="s">
        <v>74</v>
      </c>
    </row>
    <row r="198" spans="1:10" ht="18.75" hidden="1" customHeight="1">
      <c r="A198" s="182">
        <f>ПТО!F16</f>
        <v>0</v>
      </c>
      <c r="B198" s="182"/>
      <c r="C198" s="182"/>
      <c r="D198" s="182"/>
      <c r="E198" s="182"/>
      <c r="F198" s="182"/>
      <c r="G198" s="182"/>
      <c r="H198" s="50">
        <f>ПТО!G16</f>
        <v>0</v>
      </c>
      <c r="I198" s="53" t="s">
        <v>74</v>
      </c>
    </row>
    <row r="199" spans="1:10" ht="18.75" hidden="1" customHeight="1">
      <c r="A199" s="182">
        <f>ПТО!F17</f>
        <v>0</v>
      </c>
      <c r="B199" s="182"/>
      <c r="C199" s="182"/>
      <c r="D199" s="182"/>
      <c r="E199" s="182"/>
      <c r="F199" s="182"/>
      <c r="G199" s="182"/>
      <c r="H199" s="50">
        <f>ПТО!G17</f>
        <v>0</v>
      </c>
      <c r="I199" s="51" t="s">
        <v>74</v>
      </c>
    </row>
    <row r="200" spans="1:10" hidden="1">
      <c r="A200" s="182">
        <f>ПТО!F18</f>
        <v>0</v>
      </c>
      <c r="B200" s="182"/>
      <c r="C200" s="182"/>
      <c r="D200" s="182"/>
      <c r="E200" s="182"/>
      <c r="F200" s="182"/>
      <c r="G200" s="182"/>
      <c r="H200" s="50">
        <f>ПТО!G18</f>
        <v>0</v>
      </c>
      <c r="I200" s="51" t="s">
        <v>74</v>
      </c>
    </row>
    <row r="201" spans="1:10" hidden="1">
      <c r="A201" s="182">
        <f>ПТО!F19</f>
        <v>0</v>
      </c>
      <c r="B201" s="182"/>
      <c r="C201" s="182"/>
      <c r="D201" s="182"/>
      <c r="E201" s="182"/>
      <c r="F201" s="182"/>
      <c r="G201" s="182"/>
      <c r="H201" s="50">
        <f>ПТО!G19</f>
        <v>0</v>
      </c>
      <c r="I201" s="51" t="s">
        <v>74</v>
      </c>
    </row>
    <row r="202" spans="1:10" hidden="1">
      <c r="A202" s="182">
        <f>ПТО!F20</f>
        <v>0</v>
      </c>
      <c r="B202" s="182"/>
      <c r="C202" s="182"/>
      <c r="D202" s="182"/>
      <c r="E202" s="182"/>
      <c r="F202" s="182"/>
      <c r="G202" s="182"/>
      <c r="H202" s="50">
        <f>ПТО!G20</f>
        <v>0</v>
      </c>
      <c r="I202" s="51" t="s">
        <v>74</v>
      </c>
    </row>
    <row r="203" spans="1:10" hidden="1">
      <c r="A203" s="182">
        <f>ПТО!F21</f>
        <v>0</v>
      </c>
      <c r="B203" s="182"/>
      <c r="C203" s="182"/>
      <c r="D203" s="182"/>
      <c r="E203" s="182"/>
      <c r="F203" s="182"/>
      <c r="G203" s="182"/>
      <c r="H203" s="50">
        <f>ПТО!G21</f>
        <v>0</v>
      </c>
      <c r="I203" s="51" t="s">
        <v>74</v>
      </c>
    </row>
    <row r="204" spans="1:10" hidden="1">
      <c r="A204" s="182">
        <f>ПТО!F22</f>
        <v>0</v>
      </c>
      <c r="B204" s="182"/>
      <c r="C204" s="182"/>
      <c r="D204" s="182"/>
      <c r="E204" s="182"/>
      <c r="F204" s="182"/>
      <c r="G204" s="182"/>
      <c r="H204" s="50">
        <f>ПТО!G22</f>
        <v>0</v>
      </c>
      <c r="I204" s="51" t="s">
        <v>74</v>
      </c>
    </row>
    <row r="205" spans="1:10" hidden="1">
      <c r="A205" s="182">
        <f>ПТО!F23</f>
        <v>0</v>
      </c>
      <c r="B205" s="182"/>
      <c r="C205" s="182"/>
      <c r="D205" s="182"/>
      <c r="E205" s="182"/>
      <c r="F205" s="182"/>
      <c r="G205" s="182"/>
      <c r="H205" s="50">
        <f>ПТО!G23</f>
        <v>0</v>
      </c>
      <c r="I205" s="51" t="s">
        <v>74</v>
      </c>
    </row>
    <row r="206" spans="1:10" hidden="1">
      <c r="A206" s="182">
        <f>ПТО!F24</f>
        <v>0</v>
      </c>
      <c r="B206" s="182"/>
      <c r="C206" s="182"/>
      <c r="D206" s="182"/>
      <c r="E206" s="182"/>
      <c r="F206" s="182"/>
      <c r="G206" s="182"/>
      <c r="H206" s="50">
        <f>ПТО!G24</f>
        <v>0</v>
      </c>
      <c r="I206" s="51" t="s">
        <v>74</v>
      </c>
    </row>
    <row r="207" spans="1:10" hidden="1">
      <c r="A207" s="182">
        <f>ПТО!F25</f>
        <v>0</v>
      </c>
      <c r="B207" s="182"/>
      <c r="C207" s="182"/>
      <c r="D207" s="182"/>
      <c r="E207" s="182"/>
      <c r="F207" s="182"/>
      <c r="G207" s="182"/>
      <c r="H207" s="50">
        <f>ПТО!G25</f>
        <v>0</v>
      </c>
      <c r="I207" s="51" t="s">
        <v>74</v>
      </c>
    </row>
    <row r="208" spans="1:10" hidden="1">
      <c r="A208" s="182">
        <f>ПТО!F26</f>
        <v>0</v>
      </c>
      <c r="B208" s="182"/>
      <c r="C208" s="182"/>
      <c r="D208" s="182"/>
      <c r="E208" s="182"/>
      <c r="F208" s="182"/>
      <c r="G208" s="182"/>
      <c r="H208" s="50">
        <f>ПТО!G26</f>
        <v>0</v>
      </c>
      <c r="I208" s="51" t="s">
        <v>74</v>
      </c>
    </row>
    <row r="209" spans="1:9" hidden="1">
      <c r="A209" s="182">
        <f>ПТО!F27</f>
        <v>0</v>
      </c>
      <c r="B209" s="182"/>
      <c r="C209" s="182"/>
      <c r="D209" s="182"/>
      <c r="E209" s="182"/>
      <c r="F209" s="182"/>
      <c r="G209" s="182"/>
      <c r="H209" s="50">
        <f>ПТО!G27</f>
        <v>0</v>
      </c>
      <c r="I209" s="51" t="s">
        <v>74</v>
      </c>
    </row>
    <row r="210" spans="1:9" hidden="1">
      <c r="A210" s="182">
        <f>ПТО!F28</f>
        <v>0</v>
      </c>
      <c r="B210" s="182"/>
      <c r="C210" s="182"/>
      <c r="D210" s="182"/>
      <c r="E210" s="182"/>
      <c r="F210" s="182"/>
      <c r="G210" s="182"/>
      <c r="H210" s="50">
        <f>ПТО!G28</f>
        <v>0</v>
      </c>
      <c r="I210" s="51" t="s">
        <v>74</v>
      </c>
    </row>
    <row r="211" spans="1:9" hidden="1">
      <c r="A211" s="182">
        <f>ПТО!F29</f>
        <v>0</v>
      </c>
      <c r="B211" s="182"/>
      <c r="C211" s="182"/>
      <c r="D211" s="182"/>
      <c r="E211" s="182"/>
      <c r="F211" s="182"/>
      <c r="G211" s="182"/>
      <c r="H211" s="50">
        <f>ПТО!G29</f>
        <v>0</v>
      </c>
      <c r="I211" s="51" t="s">
        <v>74</v>
      </c>
    </row>
    <row r="212" spans="1:9" hidden="1">
      <c r="A212" s="182">
        <f>ПТО!F30</f>
        <v>0</v>
      </c>
      <c r="B212" s="182"/>
      <c r="C212" s="182"/>
      <c r="D212" s="182"/>
      <c r="E212" s="182"/>
      <c r="F212" s="182"/>
      <c r="G212" s="182"/>
      <c r="H212" s="50">
        <f>ПТО!G30</f>
        <v>0</v>
      </c>
      <c r="I212" s="51" t="s">
        <v>74</v>
      </c>
    </row>
    <row r="213" spans="1:9" hidden="1">
      <c r="A213" s="182">
        <f>ПТО!F31</f>
        <v>0</v>
      </c>
      <c r="B213" s="182"/>
      <c r="C213" s="182"/>
      <c r="D213" s="182"/>
      <c r="E213" s="182"/>
      <c r="F213" s="182"/>
      <c r="G213" s="182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6750</v>
      </c>
      <c r="I214" s="57" t="s">
        <v>76</v>
      </c>
    </row>
  </sheetData>
  <sheetProtection algorithmName="SHA-512" hashValue="sbKUlP/q65oKKuQu7QQwq/qScuvhbjTPjw0D7uz+F1ShL8Ez5sgk0aIJ79/ExSJ+ZfkC4qOksvimFlIDc1bIlg==" saltValue="wXQPgYPjhQfcv3PrW0Nh3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3" sqref="C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62480.86</f>
        <v>62480.86</v>
      </c>
    </row>
    <row r="2" spans="1:12" ht="18.75" customHeight="1">
      <c r="A2" s="132" t="s">
        <v>178</v>
      </c>
      <c r="B2" s="123" t="s">
        <v>176</v>
      </c>
      <c r="C2" s="120">
        <v>12</v>
      </c>
      <c r="D2" s="121">
        <v>5508</v>
      </c>
      <c r="E2" s="31" t="s">
        <v>204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186</v>
      </c>
      <c r="B3" s="139" t="s">
        <v>187</v>
      </c>
      <c r="C3" s="120">
        <v>1</v>
      </c>
      <c r="D3" s="122">
        <v>3382.5</v>
      </c>
      <c r="E3" s="140" t="s">
        <v>190</v>
      </c>
      <c r="F3" s="30"/>
      <c r="G3" s="30"/>
      <c r="L3" s="33" t="str">
        <f t="shared" si="0"/>
        <v>ТР</v>
      </c>
    </row>
    <row r="4" spans="1:12" ht="18.75" customHeight="1">
      <c r="A4" s="133" t="s">
        <v>188</v>
      </c>
      <c r="B4" s="134" t="s">
        <v>187</v>
      </c>
      <c r="C4" s="135">
        <v>1</v>
      </c>
      <c r="D4" s="136">
        <v>2700</v>
      </c>
      <c r="E4" s="137" t="s">
        <v>189</v>
      </c>
      <c r="F4" s="30"/>
      <c r="G4" s="30"/>
      <c r="L4" s="33" t="str">
        <f t="shared" si="0"/>
        <v>ТР</v>
      </c>
    </row>
    <row r="5" spans="1:12" ht="18.75" customHeight="1">
      <c r="A5" s="154" t="s">
        <v>205</v>
      </c>
      <c r="B5" s="142" t="s">
        <v>187</v>
      </c>
      <c r="C5" s="124">
        <v>1</v>
      </c>
      <c r="D5" s="47">
        <v>750</v>
      </c>
      <c r="E5" s="141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192</v>
      </c>
      <c r="B6" s="143" t="s">
        <v>187</v>
      </c>
      <c r="C6" s="123">
        <v>1</v>
      </c>
      <c r="D6" s="122">
        <v>7600</v>
      </c>
      <c r="E6" s="144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145" t="s">
        <v>194</v>
      </c>
      <c r="B7" s="146" t="s">
        <v>187</v>
      </c>
      <c r="C7" s="147">
        <v>1</v>
      </c>
      <c r="D7" s="148">
        <v>542.4</v>
      </c>
      <c r="E7" s="149" t="s">
        <v>195</v>
      </c>
      <c r="F7" s="46"/>
      <c r="G7" s="46"/>
      <c r="K7" s="47"/>
      <c r="L7" s="33" t="str">
        <f t="shared" si="0"/>
        <v>ТР</v>
      </c>
    </row>
    <row r="8" spans="1:12" ht="18.75" customHeight="1">
      <c r="A8" s="127"/>
      <c r="B8" s="128"/>
      <c r="C8" s="129"/>
      <c r="D8" s="130"/>
      <c r="E8" s="131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180</v>
      </c>
      <c r="G13" s="115">
        <v>5550</v>
      </c>
      <c r="L13" s="33">
        <f t="shared" si="0"/>
        <v>0</v>
      </c>
    </row>
    <row r="14" spans="1:12" ht="15.75">
      <c r="A14" s="30"/>
      <c r="F14" s="125"/>
      <c r="G14" s="126"/>
      <c r="L14" s="33">
        <f t="shared" si="0"/>
        <v>0</v>
      </c>
    </row>
    <row r="15" spans="1:12" ht="15.75">
      <c r="A15" s="30"/>
      <c r="F15" s="125"/>
      <c r="G15" s="126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28036.68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28036.68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34191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34191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29130.720000000001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29130.720000000001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16411.68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16411.68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6838.2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6838.2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28720.44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28720.44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196</v>
      </c>
      <c r="B46" s="150">
        <f>(E46*G52*F54*6+E46*G52*G54*6)+(F46*G58*F60*6+F46*G58*G60*6)+(F46*G62*F64*6+F46*G62*G64*6)</f>
        <v>25033.43475</v>
      </c>
      <c r="C46" s="151" t="s">
        <v>68</v>
      </c>
      <c r="D46" s="49">
        <v>12</v>
      </c>
      <c r="E46" s="150">
        <v>588.29999999999995</v>
      </c>
      <c r="F46" s="150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25033.43475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52"/>
      <c r="C47" s="151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3" t="s">
        <v>197</v>
      </c>
      <c r="F51" s="153" t="s">
        <v>198</v>
      </c>
      <c r="G51" s="153" t="s">
        <v>199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3"/>
      <c r="F52" s="150">
        <v>1129.2</v>
      </c>
      <c r="G52" s="153">
        <v>2.5</v>
      </c>
      <c r="H52" s="153">
        <f>G52*E46/F52</f>
        <v>1.302470775770457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3"/>
      <c r="F53" s="153" t="s">
        <v>200</v>
      </c>
      <c r="G53" s="153" t="s">
        <v>201</v>
      </c>
      <c r="H53" s="153">
        <f>H52*G55</f>
        <v>27.351886291179596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3"/>
      <c r="F54" s="153">
        <v>1.17</v>
      </c>
      <c r="G54" s="153">
        <v>1.23</v>
      </c>
      <c r="H54" s="153"/>
    </row>
    <row r="55" spans="5:16">
      <c r="E55" s="153"/>
      <c r="F55" s="153"/>
      <c r="G55" s="153">
        <v>21</v>
      </c>
      <c r="H55" s="153"/>
    </row>
    <row r="56" spans="5:16">
      <c r="E56" s="153"/>
      <c r="F56" s="153"/>
      <c r="G56" s="153"/>
      <c r="H56" s="153"/>
    </row>
    <row r="57" spans="5:16">
      <c r="E57" s="153" t="s">
        <v>202</v>
      </c>
      <c r="F57" s="153"/>
      <c r="G57" s="153"/>
      <c r="H57" s="153"/>
    </row>
    <row r="58" spans="5:16">
      <c r="E58" s="153"/>
      <c r="F58" s="150">
        <f>F52</f>
        <v>1129.2</v>
      </c>
      <c r="G58" s="153">
        <v>7.4999999999999997E-2</v>
      </c>
      <c r="H58" s="153">
        <f>G58*F46</f>
        <v>10.987499999999999</v>
      </c>
    </row>
    <row r="59" spans="5:16">
      <c r="E59" s="153"/>
      <c r="F59" s="153" t="s">
        <v>200</v>
      </c>
      <c r="G59" s="153" t="s">
        <v>201</v>
      </c>
      <c r="H59" s="153">
        <f>H58/F58</f>
        <v>9.7303400637619546E-3</v>
      </c>
    </row>
    <row r="60" spans="5:16">
      <c r="E60" s="153"/>
      <c r="F60" s="153">
        <v>12.94</v>
      </c>
      <c r="G60" s="153">
        <v>13.45</v>
      </c>
      <c r="H60" s="153">
        <f>H59*G55</f>
        <v>0.20433714133900105</v>
      </c>
    </row>
    <row r="61" spans="5:16">
      <c r="E61" s="153" t="s">
        <v>203</v>
      </c>
      <c r="F61" s="153"/>
      <c r="G61" s="153"/>
      <c r="H61" s="153"/>
    </row>
    <row r="62" spans="5:16">
      <c r="E62" s="153"/>
      <c r="F62" s="150">
        <f>F52</f>
        <v>1129.2</v>
      </c>
      <c r="G62" s="153">
        <v>7.4999999999999997E-2</v>
      </c>
      <c r="H62" s="153">
        <f>G62*F46</f>
        <v>10.987499999999999</v>
      </c>
    </row>
    <row r="63" spans="5:16">
      <c r="E63" s="153"/>
      <c r="F63" s="153" t="s">
        <v>200</v>
      </c>
      <c r="G63" s="153" t="s">
        <v>201</v>
      </c>
      <c r="H63" s="153">
        <f>H62/F62</f>
        <v>9.7303400637619546E-3</v>
      </c>
    </row>
    <row r="64" spans="5:16">
      <c r="E64" s="153"/>
      <c r="F64" s="153">
        <v>15.73</v>
      </c>
      <c r="G64" s="153">
        <v>16.350000000000001</v>
      </c>
      <c r="H64" s="153">
        <f>H63*G55</f>
        <v>0.20433714133900105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2" sqref="D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1139.7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96630.11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219392.33000000002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144855.95000000001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74536.38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220260.4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220260.4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220260.4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95762.040000000008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6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6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6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6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5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5"/>
      <c r="N26" s="64"/>
    </row>
    <row r="27" spans="1:15" ht="18.75" customHeight="1">
      <c r="A27" s="71" t="s">
        <v>104</v>
      </c>
      <c r="B27" s="76" t="s">
        <v>4</v>
      </c>
      <c r="C27" s="87">
        <v>44137.21</v>
      </c>
      <c r="D27" s="82" t="s">
        <v>60</v>
      </c>
      <c r="E27" s="65"/>
      <c r="F27" s="65"/>
      <c r="G27" s="65"/>
      <c r="H27" s="65"/>
      <c r="I27" s="65"/>
      <c r="J27" s="65"/>
      <c r="M27" s="185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5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5"/>
      <c r="N29" s="64"/>
    </row>
    <row r="30" spans="1:15" ht="18.75" customHeight="1">
      <c r="A30" s="71" t="s">
        <v>107</v>
      </c>
      <c r="B30" s="76" t="s">
        <v>18</v>
      </c>
      <c r="C30" s="87">
        <v>57423.8</v>
      </c>
      <c r="D30" s="82" t="s">
        <v>66</v>
      </c>
      <c r="E30" s="65"/>
      <c r="F30" s="65"/>
      <c r="G30" s="65"/>
      <c r="H30" s="65"/>
      <c r="I30" s="65"/>
      <c r="J30" s="65"/>
      <c r="M30" s="185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5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5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5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5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112376.5</v>
      </c>
      <c r="F37" s="95" t="s">
        <v>166</v>
      </c>
      <c r="G37" s="67"/>
      <c r="H37" s="67"/>
      <c r="I37" s="67"/>
      <c r="L37" s="64"/>
      <c r="M37" s="184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93647.08</v>
      </c>
      <c r="D38" s="95" t="s">
        <v>164</v>
      </c>
      <c r="E38" s="69"/>
      <c r="G38" s="68"/>
      <c r="H38" s="68"/>
      <c r="L38" s="64"/>
      <c r="M38" s="184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107338.42</v>
      </c>
      <c r="D39" s="95" t="s">
        <v>165</v>
      </c>
      <c r="E39" s="69"/>
      <c r="G39" s="68"/>
      <c r="H39" s="68"/>
      <c r="L39" s="64"/>
      <c r="M39" s="184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5038.0800000000017</v>
      </c>
      <c r="D40" s="81" t="s">
        <v>59</v>
      </c>
      <c r="E40" s="69"/>
      <c r="G40" s="68"/>
      <c r="H40" s="68"/>
      <c r="L40" s="64"/>
      <c r="M40" s="184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112376.5</v>
      </c>
      <c r="D41" s="81" t="s">
        <v>59</v>
      </c>
      <c r="E41" s="69"/>
      <c r="G41" s="68"/>
      <c r="H41" s="68"/>
      <c r="L41" s="64"/>
      <c r="M41" s="184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112376.5</v>
      </c>
      <c r="D42" s="81" t="s">
        <v>59</v>
      </c>
      <c r="E42" s="69"/>
      <c r="G42" s="68"/>
      <c r="H42" s="68"/>
      <c r="L42" s="64"/>
      <c r="M42" s="184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4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4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32683.01</v>
      </c>
      <c r="F45" s="95" t="s">
        <v>166</v>
      </c>
      <c r="G45" s="67"/>
      <c r="H45" s="67"/>
      <c r="L45" s="64"/>
      <c r="M45" s="184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2472.58</v>
      </c>
      <c r="D46" s="95" t="s">
        <v>167</v>
      </c>
      <c r="E46" s="69"/>
      <c r="G46" s="68"/>
      <c r="H46" s="68"/>
      <c r="L46" s="64"/>
      <c r="M46" s="184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30661.22</v>
      </c>
      <c r="D47" s="95" t="s">
        <v>165</v>
      </c>
      <c r="E47" s="69"/>
      <c r="G47" s="68"/>
      <c r="H47" s="68"/>
      <c r="L47" s="64"/>
      <c r="M47" s="184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2021.7899999999972</v>
      </c>
      <c r="D48" s="81" t="s">
        <v>59</v>
      </c>
      <c r="E48" s="69"/>
      <c r="G48" s="68"/>
      <c r="H48" s="68"/>
      <c r="L48" s="64"/>
      <c r="M48" s="184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32683.01</v>
      </c>
      <c r="D49" s="81" t="s">
        <v>59</v>
      </c>
      <c r="E49" s="69"/>
      <c r="G49" s="68"/>
      <c r="H49" s="68"/>
      <c r="L49" s="64"/>
      <c r="M49" s="184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32683.01</v>
      </c>
      <c r="D50" s="81" t="s">
        <v>59</v>
      </c>
      <c r="E50" s="69"/>
      <c r="G50" s="68"/>
      <c r="H50" s="68"/>
      <c r="L50" s="64"/>
      <c r="M50" s="184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4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4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67424.84</v>
      </c>
      <c r="F53" s="95" t="s">
        <v>166</v>
      </c>
      <c r="G53" s="67"/>
      <c r="H53" s="67"/>
      <c r="L53" s="64"/>
      <c r="M53" s="184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4203.54</v>
      </c>
      <c r="D54" s="95" t="s">
        <v>167</v>
      </c>
      <c r="E54" s="70"/>
      <c r="F54" s="90"/>
      <c r="G54" s="65"/>
      <c r="H54" s="65"/>
      <c r="L54" s="64"/>
      <c r="M54" s="184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63127.88</v>
      </c>
      <c r="D55" s="95" t="s">
        <v>165</v>
      </c>
      <c r="E55" s="70"/>
      <c r="G55" s="65"/>
      <c r="H55" s="65"/>
      <c r="L55" s="64"/>
      <c r="M55" s="184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4296.9599999999991</v>
      </c>
      <c r="D56" s="81" t="s">
        <v>59</v>
      </c>
      <c r="E56" s="70"/>
      <c r="G56" s="65"/>
      <c r="H56" s="65"/>
      <c r="L56" s="64"/>
      <c r="M56" s="184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67424.84</v>
      </c>
      <c r="D57" s="81" t="s">
        <v>59</v>
      </c>
      <c r="E57" s="70"/>
      <c r="G57" s="65"/>
      <c r="H57" s="65"/>
      <c r="L57" s="64"/>
      <c r="M57" s="184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67424.84</v>
      </c>
      <c r="D58" s="81" t="s">
        <v>59</v>
      </c>
      <c r="E58" s="70"/>
      <c r="G58" s="65"/>
      <c r="H58" s="65"/>
      <c r="L58" s="64"/>
      <c r="M58" s="184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4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4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22206.06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1682.28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20276.3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1929.760000000002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22206.06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22206.06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2022-03-25T08:31:06Z</dcterms:modified>
</cp:coreProperties>
</file>