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G102" i="1"/>
  <c r="J101" i="1"/>
  <c r="J96" i="1"/>
  <c r="J95" i="1"/>
  <c r="G94" i="1"/>
  <c r="F94" i="1"/>
  <c r="K94" i="1"/>
  <c r="A105" i="1" l="1"/>
  <c r="A97" i="1"/>
  <c r="A101" i="1"/>
  <c r="F102" i="1"/>
  <c r="A119" i="1"/>
  <c r="A111" i="1"/>
  <c r="A110" i="1"/>
  <c r="A112" i="1"/>
  <c r="A109" i="1"/>
  <c r="F110" i="1"/>
  <c r="A113" i="1"/>
  <c r="A117" i="1"/>
  <c r="A118" i="1"/>
  <c r="A123" i="1"/>
  <c r="A122" i="1"/>
  <c r="A141" i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1" i="1"/>
  <c r="H172" i="1"/>
  <c r="H169" i="1"/>
  <c r="F167" i="1"/>
  <c r="H187" i="1"/>
  <c r="F165" i="1"/>
  <c r="H168" i="1"/>
  <c r="F187" i="1"/>
  <c r="H182" i="1"/>
  <c r="F184" i="1"/>
  <c r="F168" i="1"/>
  <c r="F182" i="1"/>
  <c r="H164" i="1"/>
  <c r="F181" i="1"/>
  <c r="F172" i="1"/>
  <c r="H184" i="1"/>
  <c r="F179" i="1"/>
  <c r="H178" i="1"/>
  <c r="F176" i="1"/>
  <c r="F178" i="1"/>
  <c r="F164" i="1"/>
  <c r="H176" i="1"/>
  <c r="H186" i="1"/>
  <c r="H179" i="1"/>
  <c r="H177" i="1"/>
  <c r="F177" i="1"/>
  <c r="H165" i="1"/>
  <c r="H180" i="1"/>
  <c r="F173" i="1"/>
  <c r="F180" i="1"/>
  <c r="H173" i="1"/>
  <c r="H167" i="1"/>
  <c r="F169" i="1"/>
  <c r="F171" i="1"/>
  <c r="H171" i="1"/>
  <c r="H166" i="1"/>
  <c r="F185" i="1"/>
  <c r="F175" i="1"/>
  <c r="F170" i="1"/>
  <c r="H170" i="1"/>
  <c r="H185" i="1"/>
  <c r="F166" i="1"/>
  <c r="H174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<sst xmlns="http://schemas.openxmlformats.org/spreadsheetml/2006/main" count="564" uniqueCount="208">
  <si>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</si>
  <si>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</si>
  <si>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</si>
  <si>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</si>
  <si>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</si>
  <si>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</si>
  <si>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</si>
  <si>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</si>
  <si>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</si>
  <si>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</si>
  <si>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</si>
  <si>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</si>
  <si>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</si>
  <si>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</si>
  <si>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</si>
  <si>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</si>
  <si>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</si>
  <si>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</si>
  <si>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</si>
  <si>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</si>
  <si>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</si>
  <si>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</si>
  <si>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</si>
  <si>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</si>
  <si>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</si>
  <si>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</si>
  <si>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</si>
  <si>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</si>
  <si>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</si>
  <si>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</si>
  <si>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</si>
  <si>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</si>
  <si>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</si>
  <si>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</si>
  <si>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</si>
  <si>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</si>
  <si>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</si>
  <si>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</si>
  <si>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</si>
  <si>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</si>
  <si>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</si>
  <si>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</si>
  <si>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</si>
  <si>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</si>
  <si>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</si>
  <si>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</si>
  <si>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</si>
  <si>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</si>
  <si>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</si>
  <si>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</si>
  <si>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</si>
  <si>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</si>
  <si>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</si>
  <si>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</si>
  <si>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</si>
  <si>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</si>
  <si>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</si>
  <si>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</si>
  <si>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</si>
  <si>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</si>
  <si>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</si>
  <si>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</si>
  <si>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</si>
  <si>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</si>
  <si>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</si>
  <si>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</si>
  <si>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</si>
  <si>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</si>
  <si>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</si>
  <si>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</si>
  <si>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</si>
  <si>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</si>
  <si>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</si>
  <si>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</si>
  <si>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</si>
  <si>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</si>
  <si>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</si>
  <si>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</si>
  <si>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</si>
  <si>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</si>
  <si>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</si>
  <si>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</si>
  <si>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</si>
  <si>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</si>
  <si>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</si>
  <si>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</si>
  <si>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</si>
  <si>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</si>
  <si>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</si>
  <si>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</si>
  <si>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</si>
  <si>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</si>
  <si>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</si>
  <si>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</si>
  <si>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</si>
  <si>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</si>
  <si>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</si>
  <si>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</si>
  <si>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</si>
  <si>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</si>
  <si>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</si>
  <si>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</si>
  <si>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</si>
  <si>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</si>
  <si>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</si>
  <si>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</si>
  <si>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</si>
  <si>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</si>
  <si>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</si>
  <si>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</si>
  <si>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</si>
  <si>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</si>
  <si>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</si>
  <si>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</si>
  <si>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</si>
  <si>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</si>
  <si>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</si>
  <si>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</si>
  <si>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</si>
  <si>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</si>
  <si>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</si>
  <si>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</si>
  <si>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</si>
  <si>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</si>
  <si>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</si>
  <si>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</si>
  <si>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</si>
  <si>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</si>
  <si>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</si>
  <si>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</si>
  <si>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</si>
  <si>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</si>
  <si>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</si>
  <si>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</si>
  <si>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</si>
  <si>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</si>
  <si>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</si>
  <si>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</si>
  <si>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</si>
  <si>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</si>
  <si>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</si>
  <si>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</si>
  <si>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</si>
  <si>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</si>
  <si>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</si>
  <si>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</si>
  <si>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</si>
  <si>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</si>
  <si>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</si>
  <si>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</si>
  <si>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</si>
  <si>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</si>
  <si>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</si>
  <si>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</si>
  <si>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</si>
  <si>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</si>
  <si>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</si>
  <si>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</si>
  <si>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</si>
  <si>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</si>
  <si>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</si>
  <si>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</si>
  <si>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</si>
  <si>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</si>
  <si>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</si>
  <si>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</si>
  <si>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</si>
  <si>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</si>
  <si>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</si>
  <si>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</si>
  <si>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</si>
  <si>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</si>
  <si>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</si>
  <si>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</si>
  <si>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99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</si>
  <si>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</si>
  <si>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</si>
  <si>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</si>
  <si>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99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</si>
  <si>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</si>
  <si>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</si>
  <si>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</si>
  <si>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</si>
  <si>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</si>
  <si>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прибора учета тепловой энергии.</t>
  </si>
  <si>
    <t>разово</t>
  </si>
  <si>
    <t>АВР 1/21 от 03.02.2021, счет №35 от 03.02.2021</t>
  </si>
  <si>
    <t>Приобретение и замена коврового покрытия в подъезде.</t>
  </si>
  <si>
    <t>АВР 2/21 от 09.08.2021, Решение в доме 98</t>
  </si>
  <si>
    <t>АВР 3/21 от 19.08.2021, Решение, счет №33 от 04.08.2021</t>
  </si>
  <si>
    <t>Приобретение и установка информационного стенда на детскую площадку.</t>
  </si>
  <si>
    <t>АВР 4/21 от 29.11.2021</t>
  </si>
  <si>
    <t>АВР 5/21 от 09.12.2021</t>
  </si>
  <si>
    <t>АВР 6/21 от 09.12.2021</t>
  </si>
  <si>
    <t>Ревизия электрощита с заменой осветительных сжимов.</t>
  </si>
  <si>
    <t>Замена автоматического выключателя в электрощитовой.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</si>
  <si>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</si>
  <si>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</si>
  <si>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</si>
  <si>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</si>
  <si>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</si>
  <si>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</si>
  <si>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</si>
  <si>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</si>
  <si>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</si>
  <si>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Благоустройство придомовой территории (приобретение материалов для покраски песочниц).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</si>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</sst>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31" fillId="0" borderId="0"/>
    <xf numFmtId="0" fontId="3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19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16" fillId="0" borderId="0" xfId="5" applyFill="1" applyBorder="1" applyAlignment="1">
      <alignment horizontal="center" vertical="center"/>
    </xf>
    <xf numFmtId="0" fontId="23" fillId="0" borderId="0" xfId="0" applyFont="1" applyBorder="1" applyAlignment="1"/>
    <xf numFmtId="4" fontId="23" fillId="0" borderId="0" xfId="0" applyNumberFormat="1" applyFont="1" applyBorder="1" applyAlignment="1"/>
    <xf numFmtId="4" fontId="16" fillId="0" borderId="0" xfId="5" applyNumberFormat="1" applyFill="1" applyBorder="1" applyAlignment="1"/>
    <xf numFmtId="0" fontId="16" fillId="0" borderId="0" xfId="5" applyFont="1" applyFill="1" applyBorder="1" applyAlignment="1">
      <alignment horizontal="center"/>
    </xf>
    <xf numFmtId="4" fontId="16" fillId="0" borderId="0" xfId="5" applyNumberFormat="1" applyFont="1" applyFill="1" applyBorder="1" applyAlignment="1"/>
    <xf numFmtId="0" fontId="12" fillId="0" borderId="0" xfId="11" applyFont="1" applyFill="1" applyBorder="1" applyAlignment="1"/>
    <xf numFmtId="0" fontId="12" fillId="0" borderId="0" xfId="11" applyFont="1" applyFill="1" applyBorder="1" applyAlignment="1">
      <alignment horizontal="center"/>
    </xf>
    <xf numFmtId="0" fontId="13" fillId="0" borderId="0" xfId="11" applyFill="1" applyBorder="1" applyAlignment="1">
      <alignment horizontal="center"/>
    </xf>
    <xf numFmtId="4" fontId="13" fillId="0" borderId="0" xfId="11" applyNumberFormat="1" applyFill="1" applyBorder="1" applyAlignment="1"/>
    <xf numFmtId="0" fontId="11" fillId="0" borderId="0" xfId="11" applyFont="1" applyFill="1" applyBorder="1" applyAlignment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8" fillId="0" borderId="0" xfId="8" applyFont="1" applyFill="1" applyBorder="1" applyAlignment="1"/>
    <xf numFmtId="0" fontId="8" fillId="0" borderId="0" xfId="8" applyFont="1" applyFill="1" applyBorder="1" applyAlignment="1">
      <alignment horizontal="center"/>
    </xf>
    <xf numFmtId="1" fontId="14" fillId="0" borderId="0" xfId="8" applyNumberFormat="1" applyFill="1" applyBorder="1" applyAlignment="1">
      <alignment horizontal="center"/>
    </xf>
    <xf numFmtId="4" fontId="14" fillId="0" borderId="0" xfId="8" applyNumberFormat="1" applyFill="1" applyBorder="1" applyAlignment="1"/>
    <xf numFmtId="0" fontId="6" fillId="0" borderId="0" xfId="8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42" applyFont="1" applyFill="1" applyBorder="1" applyAlignment="1"/>
    <xf numFmtId="4" fontId="5" fillId="0" borderId="0" xfId="43" applyNumberFormat="1" applyFill="1" applyBorder="1" applyAlignment="1"/>
    <xf numFmtId="0" fontId="5" fillId="0" borderId="0" xfId="32" applyFont="1" applyFill="1" applyBorder="1"/>
    <xf numFmtId="0" fontId="4" fillId="0" borderId="0" xfId="5" applyFont="1" applyFill="1" applyBorder="1" applyAlignment="1"/>
    <xf numFmtId="0" fontId="15" fillId="0" borderId="0" xfId="5" applyFont="1" applyFill="1" applyBorder="1" applyAlignment="1"/>
    <xf numFmtId="0" fontId="16" fillId="0" borderId="0" xfId="5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32" fillId="3" borderId="0" xfId="59" applyNumberFormat="1" applyFont="1" applyFill="1" applyBorder="1" applyAlignment="1">
      <alignment horizontal="left" vertical="center" wrapText="1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1" fillId="0" borderId="0" xfId="4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60">
    <cellStyle name="Обычный" xfId="0" builtinId="0"/>
    <cellStyle name="Обычный 2" xfId="1"/>
    <cellStyle name="Обычный 2 2" xfId="3"/>
    <cellStyle name="Обычный 2 3" xfId="9"/>
    <cellStyle name="Обычный 2 3 2" xfId="51"/>
    <cellStyle name="Обычный 2 3 3" xfId="34"/>
    <cellStyle name="Обычный 2 3 4" xfId="24"/>
    <cellStyle name="Обычный 2 4" xfId="41"/>
    <cellStyle name="Обычный 2 5" xfId="46"/>
    <cellStyle name="Обычный 2 5 2" xfId="59"/>
    <cellStyle name="Обычный 2 6" xfId="54"/>
    <cellStyle name="Обычный 2 7" xfId="29"/>
    <cellStyle name="Обычный 2 8" xfId="17"/>
    <cellStyle name="Обычный 3" xfId="2"/>
    <cellStyle name="Обычный 3 10" xfId="18"/>
    <cellStyle name="Обычный 3 2" xfId="7"/>
    <cellStyle name="Обычный 3 3" xfId="6"/>
    <cellStyle name="Обычный 3 4" xfId="16"/>
    <cellStyle name="Обычный 3 4 2" xfId="52"/>
    <cellStyle name="Обычный 3 4 3" xfId="39"/>
    <cellStyle name="Обычный 3 4 4" xfId="25"/>
    <cellStyle name="Обычный 3 5" xfId="15"/>
    <cellStyle name="Обычный 3 5 2" xfId="35"/>
    <cellStyle name="Обычный 3 6" xfId="14"/>
    <cellStyle name="Обычный 3 6 2" xfId="42"/>
    <cellStyle name="Обычный 3 7" xfId="13"/>
    <cellStyle name="Обычный 3 7 2" xfId="47"/>
    <cellStyle name="Обычный 3 8" xfId="10"/>
    <cellStyle name="Обычный 3 8 2" xfId="55"/>
    <cellStyle name="Обычный 3 9" xfId="30"/>
    <cellStyle name="Обычный 4" xfId="4"/>
    <cellStyle name="Обычный 4 2" xfId="11"/>
    <cellStyle name="Обычный 4 2 2" xfId="53"/>
    <cellStyle name="Обычный 4 2 3" xfId="36"/>
    <cellStyle name="Обычный 4 2 4" xfId="26"/>
    <cellStyle name="Обычный 4 3" xfId="43"/>
    <cellStyle name="Обычный 4 4" xfId="48"/>
    <cellStyle name="Обычный 4 5" xfId="56"/>
    <cellStyle name="Обычный 4 6" xfId="31"/>
    <cellStyle name="Обычный 4 7" xfId="19"/>
    <cellStyle name="Обычный 5" xfId="5"/>
    <cellStyle name="Обычный 5 2" xfId="12"/>
    <cellStyle name="Обычный 5 2 2" xfId="37"/>
    <cellStyle name="Обычный 5 2 3" xfId="27"/>
    <cellStyle name="Обычный 5 3" xfId="44"/>
    <cellStyle name="Обычный 5 4" xfId="8"/>
    <cellStyle name="Обычный 5 4 2" xfId="45"/>
    <cellStyle name="Обычный 5 4 3" xfId="58"/>
    <cellStyle name="Обычный 5 4 4" xfId="40"/>
    <cellStyle name="Обычный 5 5" xfId="49"/>
    <cellStyle name="Обычный 5 6" xfId="57"/>
    <cellStyle name="Обычный 5 7" xfId="32"/>
    <cellStyle name="Обычный 5 8" xfId="20"/>
    <cellStyle name="Обычный 6" xfId="22"/>
    <cellStyle name="Финансовый 2" xfId="21"/>
    <cellStyle name="Финансовый 2 2" xfId="28"/>
    <cellStyle name="Финансовый 2 2 2" xfId="38"/>
    <cellStyle name="Финансовый 2 3" xfId="50"/>
    <cellStyle name="Финансовый 2 4" xfId="33"/>
    <cellStyle name="Финансовый 3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1" t="s">
        <v>174</v>
      </c>
      <c r="B2" s="181"/>
      <c r="C2" s="181"/>
      <c r="D2" s="181"/>
      <c r="E2" s="181"/>
      <c r="F2" s="181"/>
      <c r="G2" s="181"/>
      <c r="H2" s="181"/>
      <c r="I2" s="181"/>
      <c r="J2" s="18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8" t="s">
        <v>2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9"/>
      <c r="L8" s="182"/>
      <c r="M8" s="109"/>
      <c r="N8" s="109"/>
      <c r="O8" s="70" t="s">
        <v>80</v>
      </c>
      <c r="R8" s="16"/>
    </row>
    <row r="9" spans="1:18" ht="18.75" customHeight="1" outlineLevel="1">
      <c r="A9" s="178" t="s">
        <v>3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9"/>
      <c r="L9" s="182"/>
      <c r="M9" s="109"/>
      <c r="N9" s="109"/>
      <c r="O9" s="70" t="s">
        <v>81</v>
      </c>
    </row>
    <row r="10" spans="1:18" ht="18.75" customHeight="1" outlineLevel="1">
      <c r="A10" s="178" t="s">
        <v>4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110643.15</v>
      </c>
      <c r="K10" s="109"/>
      <c r="L10" s="182"/>
      <c r="M10" s="109"/>
      <c r="N10" s="109"/>
      <c r="O10" s="70" t="s">
        <v>82</v>
      </c>
    </row>
    <row r="11" spans="1:18" outlineLevel="1">
      <c r="A11" s="178" t="s">
        <v>5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227934.52000000002</v>
      </c>
      <c r="K11" s="109"/>
      <c r="L11" s="182"/>
      <c r="M11" s="109"/>
      <c r="N11" s="109"/>
      <c r="O11" s="70" t="s">
        <v>83</v>
      </c>
    </row>
    <row r="12" spans="1:18" ht="18.75" customHeight="1" outlineLevel="1">
      <c r="A12" s="178" t="s">
        <v>6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153286.96</v>
      </c>
      <c r="K12" s="109"/>
      <c r="L12" s="182"/>
      <c r="M12" s="109"/>
      <c r="N12" s="109"/>
      <c r="O12" s="70" t="s">
        <v>84</v>
      </c>
    </row>
    <row r="13" spans="1:18" ht="18.75" customHeight="1" outlineLevel="1">
      <c r="A13" s="178" t="s">
        <v>7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74647.560000000012</v>
      </c>
      <c r="K13" s="109"/>
      <c r="L13" s="182"/>
      <c r="M13" s="109"/>
      <c r="N13" s="109"/>
      <c r="O13" s="70" t="s">
        <v>85</v>
      </c>
    </row>
    <row r="14" spans="1:18" ht="18.75" customHeight="1" outlineLevel="1">
      <c r="A14" s="178" t="s">
        <v>8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0</v>
      </c>
      <c r="K14" s="109"/>
      <c r="L14" s="182"/>
      <c r="M14" s="109"/>
      <c r="N14" s="109"/>
      <c r="O14" s="70" t="s">
        <v>86</v>
      </c>
    </row>
    <row r="15" spans="1:18" ht="18.75" customHeight="1" outlineLevel="1">
      <c r="A15" s="178" t="s">
        <v>9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219762.93</v>
      </c>
      <c r="K15" s="109"/>
      <c r="L15" s="182"/>
      <c r="M15" s="109"/>
      <c r="N15" s="109"/>
      <c r="O15" s="70" t="s">
        <v>87</v>
      </c>
    </row>
    <row r="16" spans="1:18" ht="18.75" customHeight="1" outlineLevel="1">
      <c r="A16" s="178" t="s">
        <v>10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219762.93</v>
      </c>
      <c r="K16" s="109"/>
      <c r="L16" s="182"/>
      <c r="M16" s="109"/>
      <c r="N16" s="109"/>
      <c r="O16" s="70" t="s">
        <v>88</v>
      </c>
    </row>
    <row r="17" spans="1:23" ht="18.75" customHeight="1" outlineLevel="1">
      <c r="A17" s="178" t="s">
        <v>11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9"/>
      <c r="L17" s="182"/>
      <c r="M17" s="109"/>
      <c r="N17" s="109"/>
      <c r="O17" s="70" t="s">
        <v>89</v>
      </c>
    </row>
    <row r="18" spans="1:23" ht="18.75" customHeight="1" outlineLevel="1">
      <c r="A18" s="178" t="s">
        <v>12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9"/>
      <c r="L18" s="182"/>
      <c r="M18" s="109"/>
      <c r="N18" s="109"/>
      <c r="O18" s="70" t="s">
        <v>90</v>
      </c>
    </row>
    <row r="19" spans="1:23" ht="18.75" customHeight="1" outlineLevel="1">
      <c r="A19" s="178" t="s">
        <v>13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9"/>
      <c r="L19" s="182"/>
      <c r="M19" s="109"/>
      <c r="N19" s="109"/>
      <c r="O19" s="70" t="s">
        <v>91</v>
      </c>
    </row>
    <row r="20" spans="1:23" ht="18.75" customHeight="1" outlineLevel="1">
      <c r="A20" s="178" t="s">
        <v>14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9"/>
      <c r="L20" s="182"/>
      <c r="M20" s="109"/>
      <c r="N20" s="109"/>
      <c r="O20" s="70" t="s">
        <v>92</v>
      </c>
    </row>
    <row r="21" spans="1:23" ht="18.75" customHeight="1" outlineLevel="1">
      <c r="A21" s="178" t="s">
        <v>15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219762.93</v>
      </c>
      <c r="K21" s="109"/>
      <c r="L21" s="182"/>
      <c r="M21" s="109"/>
      <c r="N21" s="109"/>
      <c r="O21" s="70" t="s">
        <v>93</v>
      </c>
    </row>
    <row r="22" spans="1:23" ht="18.75" customHeight="1" outlineLevel="1">
      <c r="A22" s="178" t="s">
        <v>16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9"/>
      <c r="L22" s="182"/>
      <c r="M22" s="109"/>
      <c r="N22" s="109"/>
      <c r="O22" s="70" t="s">
        <v>94</v>
      </c>
    </row>
    <row r="23" spans="1:23" ht="18.75" customHeight="1" outlineLevel="1">
      <c r="A23" s="178" t="s">
        <v>17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9"/>
      <c r="L23" s="182"/>
      <c r="M23" s="109"/>
      <c r="N23" s="109"/>
      <c r="O23" s="70" t="s">
        <v>95</v>
      </c>
    </row>
    <row r="24" spans="1:23" ht="18.75" customHeight="1" outlineLevel="1">
      <c r="A24" s="178" t="s">
        <v>18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118814.74000000005</v>
      </c>
      <c r="K24" s="109"/>
      <c r="L24" s="182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5" t="s">
        <v>19</v>
      </c>
      <c r="B27" s="165"/>
      <c r="C27" s="165"/>
      <c r="D27" s="165"/>
      <c r="E27" s="165"/>
      <c r="F27" s="165" t="s">
        <v>20</v>
      </c>
      <c r="G27" s="165"/>
      <c r="H27" s="5" t="s">
        <v>57</v>
      </c>
      <c r="I27" s="165" t="s">
        <v>21</v>
      </c>
      <c r="J27" s="165"/>
      <c r="K27" s="109"/>
      <c r="L27" s="18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0">
        <f>VLOOKUP(A28,ПТО!$A$39:$D$53,2,FALSE)</f>
        <v>14518.56</v>
      </c>
      <c r="G28" s="160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8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9"/>
      <c r="C29" s="159"/>
      <c r="D29" s="159"/>
      <c r="E29" s="159"/>
      <c r="F29" s="160">
        <f>VLOOKUP(A29,ПТО!$A$39:$D$53,2,FALSE)</f>
        <v>54650.28</v>
      </c>
      <c r="G29" s="160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9"/>
      <c r="L29" s="183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0">
        <f>VLOOKUP(A30,ПТО!$A$39:$D$53,2,FALSE)</f>
        <v>29174.16</v>
      </c>
      <c r="G30" s="160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8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0">
        <f>VLOOKUP(A31,ПТО!$A$39:$D$53,2,FALSE)</f>
        <v>16436.16</v>
      </c>
      <c r="G31" s="160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8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9"/>
      <c r="L32" s="18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0">
        <f>VLOOKUP(A33,ПТО!$A$39:$D$53,2,FALSE)</f>
        <v>6848.4</v>
      </c>
      <c r="G33" s="160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8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0">
        <f>VLOOKUP(A34,ПТО!$A$39:$D$53,2,FALSE)</f>
        <v>28763.279999999999</v>
      </c>
      <c r="G34" s="160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8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9" t="str">
        <f>ПТО!A46</f>
        <v>Коммунальные ресурсы на содержание общего имущества</v>
      </c>
      <c r="B35" s="159"/>
      <c r="C35" s="159"/>
      <c r="D35" s="159"/>
      <c r="E35" s="159"/>
      <c r="F35" s="160">
        <f>VLOOKUP(A35,ПТО!$A$39:$D$53,2,FALSE)</f>
        <v>25033.43475</v>
      </c>
      <c r="G35" s="160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83"/>
      <c r="M35" s="115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9">
        <f>ПТО!A47</f>
        <v>0</v>
      </c>
      <c r="B36" s="159"/>
      <c r="C36" s="159"/>
      <c r="D36" s="159"/>
      <c r="E36" s="159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9"/>
      <c r="L36" s="18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9"/>
      <c r="L37" s="18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8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8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8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8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8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9" t="str">
        <f>ПТО!A2</f>
        <v>Техническое обслуживание охранной сигнализации.</v>
      </c>
      <c r="B43" s="159"/>
      <c r="C43" s="159"/>
      <c r="D43" s="159"/>
      <c r="E43" s="159"/>
      <c r="F43" s="160">
        <f>VLOOKUP(A43,ПТО!$A$2:$D$31,4,FALSE)</f>
        <v>5516.64</v>
      </c>
      <c r="G43" s="160"/>
      <c r="H43" s="19" t="str">
        <f>VLOOKUP(A43,ПТО!$A$2:$D$31,2,FALSE)</f>
        <v>ежемесячно</v>
      </c>
      <c r="I43" s="161">
        <f>VLOOKUP(A43,ПТО!$A$2:$D$31,3,FALSE)</f>
        <v>12</v>
      </c>
      <c r="J43" s="161"/>
      <c r="K43" s="109"/>
      <c r="L43" s="183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9" t="str">
        <f>ПТО!A3</f>
        <v>Ремонт прибора учета тепловой энергии.</v>
      </c>
      <c r="B44" s="159"/>
      <c r="C44" s="159"/>
      <c r="D44" s="159"/>
      <c r="E44" s="159"/>
      <c r="F44" s="160">
        <f>VLOOKUP(A44,ПТО!$A$2:$D$31,4,FALSE)</f>
        <v>3382.5</v>
      </c>
      <c r="G44" s="160"/>
      <c r="H44" s="25" t="str">
        <f>VLOOKUP(A44,ПТО!$A$2:$D$31,2,FALSE)</f>
        <v>разово</v>
      </c>
      <c r="I44" s="161">
        <f>VLOOKUP(A44,ПТО!$A$2:$D$31,3,FALSE)</f>
        <v>1</v>
      </c>
      <c r="J44" s="161"/>
      <c r="K44" s="109"/>
      <c r="L44" s="183"/>
      <c r="M44" s="115"/>
      <c r="N44" s="109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59" t="str">
        <f>ПТО!A4</f>
        <v>Благоустройство придомовой территории (приобретение материалов для покраски песочниц).</v>
      </c>
      <c r="B45" s="159"/>
      <c r="C45" s="159"/>
      <c r="D45" s="159"/>
      <c r="E45" s="159"/>
      <c r="F45" s="160">
        <f>VLOOKUP(A45,ПТО!$A$2:$D$31,4,FALSE)</f>
        <v>750</v>
      </c>
      <c r="G45" s="160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9"/>
      <c r="L45" s="183"/>
      <c r="M45" s="115"/>
      <c r="N45" s="109"/>
      <c r="O45" s="23" t="str">
        <f t="shared" si="1"/>
        <v>Благоустройство придомовой территории (приобретение материалов для покраски песочниц).</v>
      </c>
      <c r="R45" s="22" t="s">
        <v>72</v>
      </c>
    </row>
    <row r="46" spans="1:18" ht="51" customHeight="1" outlineLevel="1">
      <c r="A46" s="159" t="str">
        <f>ПТО!A5</f>
        <v>Приобретение и замена коврового покрытия в подъезде.</v>
      </c>
      <c r="B46" s="159"/>
      <c r="C46" s="159"/>
      <c r="D46" s="159"/>
      <c r="E46" s="159"/>
      <c r="F46" s="160">
        <f>VLOOKUP(A46,ПТО!$A$2:$D$31,4,FALSE)</f>
        <v>1350</v>
      </c>
      <c r="G46" s="160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9"/>
      <c r="L46" s="183"/>
      <c r="M46" s="115"/>
      <c r="N46" s="109"/>
      <c r="O46" s="23" t="str">
        <f t="shared" si="1"/>
        <v>Приобретение и замена коврового покрытия в подъезде.</v>
      </c>
      <c r="R46" s="22" t="s">
        <v>72</v>
      </c>
    </row>
    <row r="47" spans="1:18" ht="51" customHeight="1" outlineLevel="1">
      <c r="A47" s="159" t="str">
        <f>ПТО!A6</f>
        <v>Приобретение и установка информационного стенда на детскую площадку.</v>
      </c>
      <c r="B47" s="159"/>
      <c r="C47" s="159"/>
      <c r="D47" s="159"/>
      <c r="E47" s="159"/>
      <c r="F47" s="160">
        <f>VLOOKUP(A47,ПТО!$A$2:$D$31,4,FALSE)</f>
        <v>542.4</v>
      </c>
      <c r="G47" s="160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9"/>
      <c r="L47" s="183"/>
      <c r="M47" s="115"/>
      <c r="N47" s="109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59" t="str">
        <f>ПТО!A7</f>
        <v>Замена автоматического выключателя в электрощитовой.</v>
      </c>
      <c r="B48" s="159"/>
      <c r="C48" s="159"/>
      <c r="D48" s="159"/>
      <c r="E48" s="159"/>
      <c r="F48" s="160">
        <f>VLOOKUP(A48,ПТО!$A$2:$D$31,4,FALSE)</f>
        <v>2700</v>
      </c>
      <c r="G48" s="160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9"/>
      <c r="L48" s="183"/>
      <c r="M48" s="115"/>
      <c r="N48" s="109"/>
      <c r="O48" s="23" t="str">
        <f t="shared" si="1"/>
        <v>Замена автоматического выключателя в электрощитовой.</v>
      </c>
      <c r="R48" s="22" t="s">
        <v>72</v>
      </c>
    </row>
    <row r="49" spans="1:18" ht="51" customHeight="1" outlineLevel="1">
      <c r="A49" s="159" t="str">
        <f>ПТО!A8</f>
        <v>Ревизия электрощита с заменой осветительных сжимов.</v>
      </c>
      <c r="B49" s="159"/>
      <c r="C49" s="159"/>
      <c r="D49" s="159"/>
      <c r="E49" s="159"/>
      <c r="F49" s="160">
        <f>VLOOKUP(A49,ПТО!$A$2:$D$31,4,FALSE)</f>
        <v>500</v>
      </c>
      <c r="G49" s="160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9"/>
      <c r="L49" s="183"/>
      <c r="M49" s="115"/>
      <c r="N49" s="109"/>
      <c r="O49" s="23" t="str">
        <f t="shared" si="1"/>
        <v>Ревизия электрощита с заменой осветительных сжимов.</v>
      </c>
      <c r="R49" s="22" t="s">
        <v>72</v>
      </c>
    </row>
    <row r="50" spans="1:18" ht="51" customHeight="1" outlineLevel="1">
      <c r="A50" s="159" t="str">
        <f>ПТО!A9</f>
        <v>Перерасчет по итогам 2021 года.</v>
      </c>
      <c r="B50" s="159"/>
      <c r="C50" s="159"/>
      <c r="D50" s="159"/>
      <c r="E50" s="159"/>
      <c r="F50" s="160">
        <f>VLOOKUP(A50,ПТО!$A$2:$D$31,4,FALSE)</f>
        <v>52277.74</v>
      </c>
      <c r="G50" s="160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9"/>
      <c r="L50" s="183"/>
      <c r="M50" s="115"/>
      <c r="N50" s="109"/>
      <c r="O50" s="23" t="str">
        <f t="shared" si="1"/>
        <v>Перерасчет по итогам 2021 года.</v>
      </c>
      <c r="R50" s="22" t="s">
        <v>72</v>
      </c>
    </row>
    <row r="51" spans="1:18" ht="51" hidden="1" customHeight="1" outlineLevel="1">
      <c r="A51" s="159">
        <f>ПТО!A10</f>
        <v>0</v>
      </c>
      <c r="B51" s="159"/>
      <c r="C51" s="159"/>
      <c r="D51" s="159"/>
      <c r="E51" s="159"/>
      <c r="F51" s="160" t="e">
        <f>VLOOKUP(A51,ПТО!$A$2:$D$31,4,FALSE)</f>
        <v>#N/A</v>
      </c>
      <c r="G51" s="160"/>
      <c r="H51" s="25" t="e">
        <f>VLOOKUP(A51,ПТО!$A$2:$D$31,2,FALSE)</f>
        <v>#N/A</v>
      </c>
      <c r="I51" s="161" t="e">
        <f>VLOOKUP(A51,ПТО!$A$2:$D$31,3,FALSE)</f>
        <v>#N/A</v>
      </c>
      <c r="J51" s="161"/>
      <c r="K51" s="109"/>
      <c r="L51" s="183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9">
        <f>ПТО!A11</f>
        <v>0</v>
      </c>
      <c r="B52" s="159"/>
      <c r="C52" s="159"/>
      <c r="D52" s="159"/>
      <c r="E52" s="159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09"/>
      <c r="L52" s="183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9">
        <f>ПТО!A12</f>
        <v>0</v>
      </c>
      <c r="B53" s="159"/>
      <c r="C53" s="159"/>
      <c r="D53" s="159"/>
      <c r="E53" s="159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09"/>
      <c r="L53" s="183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83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83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83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8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8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8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8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8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8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8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8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8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8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8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8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8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8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8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9"/>
      <c r="L75" s="166"/>
      <c r="M75" s="109"/>
      <c r="N75" s="109"/>
      <c r="O75" s="70" t="s">
        <v>97</v>
      </c>
    </row>
    <row r="76" spans="1:16384" ht="18.75" customHeight="1" outlineLevel="1">
      <c r="A76" s="177" t="s">
        <v>28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9"/>
      <c r="L76" s="166"/>
      <c r="M76" s="109"/>
      <c r="N76" s="109"/>
      <c r="O76" s="70" t="s">
        <v>98</v>
      </c>
    </row>
    <row r="77" spans="1:16384" ht="21.75" customHeight="1" outlineLevel="1">
      <c r="A77" s="177" t="s">
        <v>29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9"/>
      <c r="L77" s="166"/>
      <c r="M77" s="109"/>
      <c r="N77" s="109"/>
      <c r="O77" s="70" t="s">
        <v>99</v>
      </c>
    </row>
    <row r="78" spans="1:16384" ht="18.75" customHeight="1" outlineLevel="1">
      <c r="A78" s="177" t="s">
        <v>30</v>
      </c>
      <c r="B78" s="177"/>
      <c r="C78" s="177"/>
      <c r="D78" s="177"/>
      <c r="E78" s="177"/>
      <c r="F78" s="177"/>
      <c r="G78" s="177"/>
      <c r="H78" s="177"/>
      <c r="I78" s="177"/>
      <c r="J78" s="97">
        <f>VLOOKUP(O78,АО,3,FALSE)</f>
        <v>0</v>
      </c>
      <c r="K78" s="109"/>
      <c r="L78" s="166"/>
      <c r="M78" s="109"/>
      <c r="N78" s="109"/>
      <c r="O78" s="70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7" t="s">
        <v>2</v>
      </c>
      <c r="B81" s="167"/>
      <c r="C81" s="167"/>
      <c r="D81" s="167"/>
      <c r="E81" s="167"/>
      <c r="F81" s="167"/>
      <c r="G81" s="167"/>
      <c r="H81" s="167"/>
      <c r="I81" s="167"/>
      <c r="J81" s="97">
        <f t="shared" ref="J81:J90" si="2">VLOOKUP(O81,АО,3,FALSE)</f>
        <v>0</v>
      </c>
      <c r="K81" s="109"/>
      <c r="L81" s="184"/>
      <c r="M81" s="109"/>
      <c r="N81" s="109"/>
      <c r="O81" s="70" t="s">
        <v>101</v>
      </c>
    </row>
    <row r="82" spans="1:15" outlineLevel="1">
      <c r="A82" s="167" t="s">
        <v>3</v>
      </c>
      <c r="B82" s="167"/>
      <c r="C82" s="167"/>
      <c r="D82" s="167"/>
      <c r="E82" s="167"/>
      <c r="F82" s="167"/>
      <c r="G82" s="167"/>
      <c r="H82" s="167"/>
      <c r="I82" s="167"/>
      <c r="J82" s="97">
        <f t="shared" si="2"/>
        <v>0</v>
      </c>
      <c r="K82" s="109"/>
      <c r="L82" s="184"/>
      <c r="M82" s="109"/>
      <c r="N82" s="109"/>
      <c r="O82" s="70" t="s">
        <v>102</v>
      </c>
    </row>
    <row r="83" spans="1:15" outlineLevel="1">
      <c r="A83" s="174" t="s">
        <v>4</v>
      </c>
      <c r="B83" s="175"/>
      <c r="C83" s="175"/>
      <c r="D83" s="175"/>
      <c r="E83" s="175"/>
      <c r="F83" s="175"/>
      <c r="G83" s="175"/>
      <c r="H83" s="175"/>
      <c r="I83" s="176"/>
      <c r="J83" s="97">
        <f t="shared" si="2"/>
        <v>26390.36</v>
      </c>
      <c r="K83" s="109"/>
      <c r="L83" s="184"/>
      <c r="M83" s="109"/>
      <c r="N83" s="109"/>
      <c r="O83" s="70" t="s">
        <v>103</v>
      </c>
    </row>
    <row r="84" spans="1:15" outlineLevel="1">
      <c r="A84" s="174" t="s">
        <v>16</v>
      </c>
      <c r="B84" s="175"/>
      <c r="C84" s="175"/>
      <c r="D84" s="175"/>
      <c r="E84" s="175"/>
      <c r="F84" s="175"/>
      <c r="G84" s="175"/>
      <c r="H84" s="175"/>
      <c r="I84" s="176"/>
      <c r="J84" s="97">
        <f t="shared" si="2"/>
        <v>0</v>
      </c>
      <c r="K84" s="109"/>
      <c r="L84" s="184"/>
      <c r="M84" s="109"/>
      <c r="N84" s="109"/>
      <c r="O84" s="70" t="s">
        <v>104</v>
      </c>
    </row>
    <row r="85" spans="1:15" outlineLevel="1">
      <c r="A85" s="174" t="s">
        <v>17</v>
      </c>
      <c r="B85" s="175"/>
      <c r="C85" s="175"/>
      <c r="D85" s="175"/>
      <c r="E85" s="175"/>
      <c r="F85" s="175"/>
      <c r="G85" s="175"/>
      <c r="H85" s="175"/>
      <c r="I85" s="176"/>
      <c r="J85" s="97">
        <f t="shared" si="2"/>
        <v>0</v>
      </c>
      <c r="K85" s="109"/>
      <c r="L85" s="184"/>
      <c r="M85" s="109"/>
      <c r="N85" s="109"/>
      <c r="O85" s="70" t="s">
        <v>105</v>
      </c>
    </row>
    <row r="86" spans="1:15" outlineLevel="1">
      <c r="A86" s="174" t="s">
        <v>18</v>
      </c>
      <c r="B86" s="175"/>
      <c r="C86" s="175"/>
      <c r="D86" s="175"/>
      <c r="E86" s="175"/>
      <c r="F86" s="175"/>
      <c r="G86" s="175"/>
      <c r="H86" s="175"/>
      <c r="I86" s="176"/>
      <c r="J86" s="97">
        <f t="shared" si="2"/>
        <v>51048.82</v>
      </c>
      <c r="K86" s="109"/>
      <c r="L86" s="184"/>
      <c r="M86" s="109"/>
      <c r="N86" s="109"/>
      <c r="O86" s="70" t="s">
        <v>106</v>
      </c>
    </row>
    <row r="87" spans="1:15" ht="18.75" customHeight="1" outlineLevel="1">
      <c r="A87" s="174" t="s">
        <v>27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9"/>
      <c r="L87" s="184"/>
      <c r="M87" s="109"/>
      <c r="N87" s="109"/>
      <c r="O87" s="70" t="s">
        <v>107</v>
      </c>
    </row>
    <row r="88" spans="1:15" ht="18.75" customHeight="1" outlineLevel="1">
      <c r="A88" s="174" t="s">
        <v>28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9"/>
      <c r="L88" s="184"/>
      <c r="M88" s="109"/>
      <c r="N88" s="109"/>
      <c r="O88" s="70" t="s">
        <v>108</v>
      </c>
    </row>
    <row r="89" spans="1:15" ht="18.75" customHeight="1" outlineLevel="1">
      <c r="A89" s="174" t="s">
        <v>29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9"/>
      <c r="L89" s="184"/>
      <c r="M89" s="109"/>
      <c r="N89" s="109"/>
      <c r="O89" s="70" t="s">
        <v>109</v>
      </c>
    </row>
    <row r="90" spans="1:15" ht="18.75" customHeight="1" outlineLevel="1">
      <c r="A90" s="174" t="s">
        <v>30</v>
      </c>
      <c r="B90" s="175"/>
      <c r="C90" s="175"/>
      <c r="D90" s="175"/>
      <c r="E90" s="175"/>
      <c r="F90" s="175"/>
      <c r="G90" s="175"/>
      <c r="H90" s="175"/>
      <c r="I90" s="176"/>
      <c r="J90" s="97">
        <f t="shared" si="2"/>
        <v>0</v>
      </c>
      <c r="K90" s="109"/>
      <c r="L90" s="184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8" t="s">
        <v>48</v>
      </c>
      <c r="B93" s="168"/>
      <c r="C93" s="168"/>
      <c r="D93" s="171" t="s">
        <v>49</v>
      </c>
      <c r="E93" s="171"/>
      <c r="F93" s="10" t="s">
        <v>50</v>
      </c>
      <c r="G93" s="168" t="s">
        <v>51</v>
      </c>
      <c r="H93" s="168"/>
      <c r="I93" s="168"/>
      <c r="J93" s="168"/>
      <c r="K93" s="109"/>
      <c r="L93" s="109"/>
      <c r="M93" s="109"/>
      <c r="N93" s="109"/>
    </row>
    <row r="94" spans="1:15" outlineLevel="1">
      <c r="A94" s="172" t="str">
        <f>IF(VLOOKUP("эл",АО,3,FALSE)&gt;0,"Электроснабжение",0)</f>
        <v>Электроснабжение</v>
      </c>
      <c r="B94" s="172"/>
      <c r="C94" s="172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69">
        <f>VLOOKUP("эл",АО,5,FALSE)</f>
        <v>21549.14</v>
      </c>
      <c r="H94" s="170"/>
      <c r="I94" s="170"/>
      <c r="J94" s="170"/>
      <c r="K94" s="1" t="str">
        <f>VLOOKUP("эл",АО,2,FALSE)</f>
        <v>Электроснабжение</v>
      </c>
      <c r="L94" s="185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17957.62</v>
      </c>
      <c r="L95" s="185"/>
      <c r="O95" s="1" t="s">
        <v>111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19904.95</v>
      </c>
      <c r="L96" s="185"/>
      <c r="O96" s="1" t="s">
        <v>112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1644.1899999999987</v>
      </c>
      <c r="L97" s="185"/>
      <c r="O97" s="1" t="s">
        <v>113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21549.14</v>
      </c>
      <c r="L98" s="185"/>
      <c r="O98" s="1" t="s">
        <v>114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21549.14</v>
      </c>
      <c r="L99" s="185"/>
      <c r="O99" s="1" t="s">
        <v>115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85"/>
      <c r="O100" s="1" t="s">
        <v>116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85"/>
      <c r="O101" s="1" t="s">
        <v>117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69">
        <f>VLOOKUP("хвс",АО,5,FALSE)</f>
        <v>37049.370000000003</v>
      </c>
      <c r="H102" s="170"/>
      <c r="I102" s="170"/>
      <c r="J102" s="170"/>
      <c r="L102" s="185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2806.77</v>
      </c>
      <c r="L103" s="185"/>
      <c r="O103" s="1" t="s">
        <v>120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31313.759999999998</v>
      </c>
      <c r="L104" s="185"/>
      <c r="O104" s="1" t="s">
        <v>121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5735.6100000000042</v>
      </c>
      <c r="L105" s="185"/>
      <c r="O105" s="1" t="s">
        <v>122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37049.370000000003</v>
      </c>
      <c r="L106" s="185"/>
      <c r="O106" s="1" t="s">
        <v>123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37049.370000000003</v>
      </c>
      <c r="L107" s="185"/>
      <c r="O107" s="1" t="s">
        <v>124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85"/>
      <c r="O108" s="1" t="s">
        <v>125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85"/>
      <c r="O109" s="1" t="s">
        <v>126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69">
        <f>VLOOKUP("воо",АО,5,FALSE)</f>
        <v>74178.490000000005</v>
      </c>
      <c r="H110" s="170"/>
      <c r="I110" s="170"/>
      <c r="J110" s="170"/>
      <c r="L110" s="185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4624.59</v>
      </c>
      <c r="L111" s="185"/>
      <c r="O111" s="1" t="s">
        <v>128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61425.45</v>
      </c>
      <c r="L112" s="185"/>
      <c r="O112" s="1" t="s">
        <v>129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12753.040000000008</v>
      </c>
      <c r="L113" s="185"/>
      <c r="O113" s="1" t="s">
        <v>130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74178.490000000005</v>
      </c>
      <c r="L114" s="185"/>
      <c r="O114" s="1" t="s">
        <v>131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74178.490000000005</v>
      </c>
      <c r="L115" s="185"/>
      <c r="O115" s="1" t="s">
        <v>132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85"/>
      <c r="O116" s="1" t="s">
        <v>133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85"/>
      <c r="O117" s="1" t="s">
        <v>134</v>
      </c>
    </row>
    <row r="118" spans="1:15" ht="32.25" hidden="1" customHeight="1" outlineLevel="1">
      <c r="A118" s="172">
        <f>IF(VLOOKUP("тко",АО,3,FALSE)&gt;0,"Обращение с ТКО",0)</f>
        <v>0</v>
      </c>
      <c r="B118" s="172"/>
      <c r="C118" s="172"/>
      <c r="D118" s="170">
        <f>IF(VLOOKUP("тко",АО,3,FALSE)&gt;0,VLOOKUP("тко",АО,3,FALSE),0)</f>
        <v>0</v>
      </c>
      <c r="E118" s="170"/>
      <c r="F118" s="13">
        <f>IF(VLOOKUP("тко",АО,3,FALSE)&gt;0,VLOOKUP("тко",АО,4,FALSE),0)</f>
        <v>0</v>
      </c>
      <c r="G118" s="169">
        <f>VLOOKUP("тко",АО,5,FALSE)</f>
        <v>0</v>
      </c>
      <c r="H118" s="170"/>
      <c r="I118" s="170"/>
      <c r="J118" s="170"/>
      <c r="L118" s="47"/>
    </row>
    <row r="119" spans="1:15" ht="32.25" hidden="1" customHeight="1" outlineLevel="2">
      <c r="A119" s="167">
        <f t="shared" ref="A119:A125" si="8">IF(VLOOKUP("тко",АО,3,FALSE)&gt;0,VLOOKUP(O119,АО,2,FALSE),0)</f>
        <v>0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67">
        <f t="shared" si="8"/>
        <v>0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167">
        <f t="shared" si="8"/>
        <v>0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167">
        <f t="shared" si="8"/>
        <v>0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167">
        <f t="shared" si="8"/>
        <v>0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167">
        <f t="shared" si="8"/>
        <v>0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167">
        <f t="shared" si="8"/>
        <v>0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142</v>
      </c>
    </row>
    <row r="126" spans="1:15" ht="32.25" customHeight="1" outlineLevel="1">
      <c r="A126" s="172" t="str">
        <f>IF(VLOOKUP("гвс",АО,3,FALSE)&gt;0,"Горячее водоснабжение",0)</f>
        <v>Горячее водоснабжение</v>
      </c>
      <c r="B126" s="172"/>
      <c r="C126" s="172"/>
      <c r="D126" s="170" t="str">
        <f>IF(VLOOKUP("гвс",АО,3,FALSE)&gt;0,VLOOKUP("гвс",АО,3,FALSE),0)</f>
        <v>Предоставляется</v>
      </c>
      <c r="E126" s="170"/>
      <c r="F126" s="13" t="str">
        <f>IF(VLOOKUP("гвс",АО,3,FALSE)&gt;0,VLOOKUP("гвс",АО,4,FALSE),0)</f>
        <v>куб.м.</v>
      </c>
      <c r="G126" s="169">
        <f>VLOOKUP("гвс",АО,5,FALSE)</f>
        <v>24016.13</v>
      </c>
      <c r="H126" s="170"/>
      <c r="I126" s="170"/>
      <c r="J126" s="170"/>
      <c r="L126" s="47"/>
    </row>
    <row r="127" spans="1:15" ht="32.25" customHeight="1" outlineLevel="2">
      <c r="A127" s="167" t="str">
        <f t="shared" ref="A127:A133" si="10">IF(VLOOKUP("гвс",АО,3,FALSE)&gt;0,VLOOKUP(O127,АО,2,FALSE),0)</f>
        <v>Общий объем потребления, нат. показ.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1819.4</v>
      </c>
      <c r="L127" s="47"/>
      <c r="O127" s="1" t="s">
        <v>144</v>
      </c>
    </row>
    <row r="128" spans="1:15" ht="32.25" customHeight="1" outlineLevel="2">
      <c r="A128" s="167" t="str">
        <f t="shared" si="10"/>
        <v>Оплачено потребителями, руб.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19490.509999999998</v>
      </c>
      <c r="L128" s="47"/>
      <c r="O128" s="1" t="s">
        <v>145</v>
      </c>
    </row>
    <row r="129" spans="1:15" ht="32.25" customHeight="1" outlineLevel="2">
      <c r="A129" s="167" t="str">
        <f t="shared" si="10"/>
        <v>Задолженность потребителей, руб.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4525.6200000000026</v>
      </c>
      <c r="L129" s="47"/>
      <c r="O129" s="1" t="s">
        <v>146</v>
      </c>
    </row>
    <row r="130" spans="1:15" ht="32.25" customHeight="1" outlineLevel="2">
      <c r="A130" s="167" t="str">
        <f t="shared" si="10"/>
        <v>Начислено поставщиком (поставщиками) коммунального ресурса, руб.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24016.13</v>
      </c>
      <c r="L130" s="47"/>
      <c r="O130" s="1" t="s">
        <v>147</v>
      </c>
    </row>
    <row r="131" spans="1:15" ht="32.25" customHeight="1" outlineLevel="2">
      <c r="A131" s="167" t="str">
        <f t="shared" si="10"/>
        <v>Оплачено поставщику (поставщикам) коммунального ресурса, руб.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24016.13</v>
      </c>
      <c r="L131" s="47"/>
      <c r="O131" s="1" t="s">
        <v>148</v>
      </c>
    </row>
    <row r="132" spans="1:15" ht="32.25" customHeight="1" outlineLevel="2">
      <c r="A132" s="167" t="str">
        <f t="shared" si="10"/>
        <v>Задолженность перед поставщиком (поставщиками) коммунального ресурса, руб.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149</v>
      </c>
    </row>
    <row r="133" spans="1:15" ht="32.25" customHeight="1" outlineLevel="2">
      <c r="A133" s="167" t="str">
        <f t="shared" si="10"/>
        <v>Размер пени и штрафов, уплаченных поставщику (поставщикам) коммунального ресурса, руб.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158</v>
      </c>
    </row>
    <row r="143" spans="1:15">
      <c r="A143" s="11" t="s">
        <v>44</v>
      </c>
    </row>
    <row r="144" spans="1:15" ht="18.75" customHeight="1" outlineLevel="1">
      <c r="A144" s="167" t="s">
        <v>45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168</v>
      </c>
    </row>
    <row r="145" spans="1:15" ht="18.75" customHeight="1" outlineLevel="1">
      <c r="A145" s="167" t="s">
        <v>46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67" t="s">
        <v>171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0</v>
      </c>
      <c r="O146" t="s">
        <v>170</v>
      </c>
    </row>
    <row r="149" spans="1:15" ht="52.5" customHeight="1">
      <c r="A149" s="163" t="s">
        <v>178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2" t="s">
        <v>179</v>
      </c>
      <c r="B154" s="162"/>
      <c r="C154" s="162"/>
      <c r="D154" s="162"/>
      <c r="E154" s="27">
        <f>ПТО!G1</f>
        <v>7628.28</v>
      </c>
    </row>
    <row r="155" spans="1:15" ht="34.5" customHeight="1">
      <c r="A155" s="164" t="s">
        <v>183</v>
      </c>
      <c r="B155" s="164"/>
      <c r="C155" s="164"/>
      <c r="D155" s="164"/>
      <c r="E155" s="28">
        <f>J13</f>
        <v>74647.560000000012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19</v>
      </c>
      <c r="B157" s="165"/>
      <c r="C157" s="165"/>
      <c r="D157" s="165"/>
      <c r="E157" s="165"/>
      <c r="F157" s="165" t="s">
        <v>20</v>
      </c>
      <c r="G157" s="165"/>
      <c r="H157" s="20" t="s">
        <v>57</v>
      </c>
      <c r="I157" s="165" t="s">
        <v>21</v>
      </c>
      <c r="J157" s="165"/>
    </row>
    <row r="158" spans="1:15" ht="29.25" customHeight="1">
      <c r="A158" s="159" t="str">
        <f t="shared" ref="A158:A163" si="14">IF(N158&gt;0,N158,0)</f>
        <v>Техническое обслуживание охранной сигнализации.</v>
      </c>
      <c r="B158" s="159"/>
      <c r="C158" s="159"/>
      <c r="D158" s="159"/>
      <c r="E158" s="159"/>
      <c r="F158" s="160">
        <f t="shared" ref="F158:F163" si="15">IF(ISERROR(VLOOKUP(A158,$A$28:$J$72,6,FALSE)),0,VLOOKUP(A158,$A$28:$J$72,6,FALSE))</f>
        <v>5516.64</v>
      </c>
      <c r="G158" s="160"/>
      <c r="H158" s="24" t="str">
        <f t="shared" ref="H158:H187" si="16">VLOOKUP(A158,$A$28:$J$72,8,FALSE)</f>
        <v>ежемесячно</v>
      </c>
      <c r="I158" s="161">
        <f t="shared" ref="I158:I161" si="17">VLOOKUP(A158,$A$28:$J$72,9,FALSE)</f>
        <v>12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9" t="str">
        <f t="shared" si="14"/>
        <v>Ремонт прибора учета тепловой энергии.</v>
      </c>
      <c r="B159" s="159"/>
      <c r="C159" s="159"/>
      <c r="D159" s="159"/>
      <c r="E159" s="159"/>
      <c r="F159" s="160">
        <f t="shared" si="15"/>
        <v>3382.5</v>
      </c>
      <c r="G159" s="160"/>
      <c r="H159" s="24" t="str">
        <f t="shared" si="16"/>
        <v>разово</v>
      </c>
      <c r="I159" s="161">
        <f t="shared" si="17"/>
        <v>1</v>
      </c>
      <c r="J159" s="161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59" t="str">
        <f t="shared" si="14"/>
        <v>Благоустройство придомовой территории (приобретение материалов для покраски песочниц).</v>
      </c>
      <c r="B160" s="159"/>
      <c r="C160" s="159"/>
      <c r="D160" s="159"/>
      <c r="E160" s="159"/>
      <c r="F160" s="160">
        <f t="shared" si="15"/>
        <v>750</v>
      </c>
      <c r="G160" s="160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Благоустройство придомовой территории (приобретение материалов для покраски песочниц).</v>
      </c>
    </row>
    <row r="161" spans="1:14" ht="28.5" customHeight="1">
      <c r="A161" s="159" t="str">
        <f>IF(N161&gt;0,N161,0)</f>
        <v>Приобретение и замена коврового покрытия в подъезде.</v>
      </c>
      <c r="B161" s="159"/>
      <c r="C161" s="159"/>
      <c r="D161" s="159"/>
      <c r="E161" s="159"/>
      <c r="F161" s="160">
        <f t="shared" si="15"/>
        <v>1350</v>
      </c>
      <c r="G161" s="160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Приобретение и замена коврового покрытия в подъезде.</v>
      </c>
    </row>
    <row r="162" spans="1:14" ht="28.5" customHeight="1">
      <c r="A162" s="159" t="str">
        <f t="shared" si="14"/>
        <v>Приобретение и установка информационного стенда на детскую площадку.</v>
      </c>
      <c r="B162" s="159"/>
      <c r="C162" s="159"/>
      <c r="D162" s="159"/>
      <c r="E162" s="159"/>
      <c r="F162" s="160">
        <f t="shared" si="15"/>
        <v>542.4</v>
      </c>
      <c r="G162" s="160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59" t="str">
        <f t="shared" si="14"/>
        <v>Замена автоматического выключателя в электрощитовой.</v>
      </c>
      <c r="B163" s="159"/>
      <c r="C163" s="159"/>
      <c r="D163" s="159"/>
      <c r="E163" s="159"/>
      <c r="F163" s="160">
        <f t="shared" si="15"/>
        <v>2700</v>
      </c>
      <c r="G163" s="160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Замена автоматического выключателя в электрощитовой.</v>
      </c>
    </row>
    <row r="164" spans="1:14" ht="28.5" customHeight="1">
      <c r="A164" s="159" t="str">
        <f t="shared" ref="A164:A187" si="18">IF(N164&gt;0,N164,0)</f>
        <v>Ревизия электрощита с заменой осветительных сжимов.</v>
      </c>
      <c r="B164" s="159"/>
      <c r="C164" s="159"/>
      <c r="D164" s="159"/>
      <c r="E164" s="159"/>
      <c r="F164" s="160">
        <f t="shared" ref="F164:F187" si="19">IF(ISERROR(VLOOKUP(A164,$A$28:$J$72,6,FALSE)),0,VLOOKUP(A164,$A$28:$J$72,6,FALSE))</f>
        <v>500</v>
      </c>
      <c r="G164" s="160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Ревизия электрощита с заменой осветительных сжимов.</v>
      </c>
    </row>
    <row r="165" spans="1:14" ht="28.5" customHeight="1">
      <c r="A165" s="159" t="str">
        <f t="shared" si="18"/>
        <v>Перерасчет по итогам 2021 года.</v>
      </c>
      <c r="B165" s="159"/>
      <c r="C165" s="159"/>
      <c r="D165" s="159"/>
      <c r="E165" s="159"/>
      <c r="F165" s="160">
        <f t="shared" si="19"/>
        <v>52277.74</v>
      </c>
      <c r="G165" s="160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Перерасчет по итогам 2021 года.</v>
      </c>
    </row>
    <row r="166" spans="1:14" ht="28.5" hidden="1" customHeight="1">
      <c r="A166" s="159">
        <f t="shared" si="18"/>
        <v>0</v>
      </c>
      <c r="B166" s="159"/>
      <c r="C166" s="159"/>
      <c r="D166" s="159"/>
      <c r="E166" s="159"/>
      <c r="F166" s="160">
        <f t="shared" si="19"/>
        <v>0</v>
      </c>
      <c r="G166" s="160"/>
      <c r="H166" s="29" t="e">
        <f t="shared" si="16"/>
        <v>#N/A</v>
      </c>
      <c r="I166" s="161" t="e">
        <f t="shared" si="20"/>
        <v>#N/A</v>
      </c>
      <c r="J166" s="161"/>
      <c r="M166" s="22" t="s">
        <v>72</v>
      </c>
      <c r="N166" s="1">
        <v>0</v>
      </c>
    </row>
    <row r="167" spans="1:14" ht="28.5" hidden="1" customHeight="1">
      <c r="A167" s="159">
        <f t="shared" si="18"/>
        <v>0</v>
      </c>
      <c r="B167" s="159"/>
      <c r="C167" s="159"/>
      <c r="D167" s="159"/>
      <c r="E167" s="159"/>
      <c r="F167" s="160">
        <f t="shared" si="19"/>
        <v>0</v>
      </c>
      <c r="G167" s="160"/>
      <c r="H167" s="29" t="e">
        <f t="shared" si="16"/>
        <v>#N/A</v>
      </c>
      <c r="I167" s="161" t="e">
        <f t="shared" si="20"/>
        <v>#N/A</v>
      </c>
      <c r="J167" s="161"/>
      <c r="M167" s="22" t="s">
        <v>72</v>
      </c>
      <c r="N167" s="1">
        <v>0</v>
      </c>
    </row>
    <row r="168" spans="1:14" ht="28.5" hidden="1" customHeight="1">
      <c r="A168" s="159">
        <f t="shared" si="18"/>
        <v>0</v>
      </c>
      <c r="B168" s="159"/>
      <c r="C168" s="159"/>
      <c r="D168" s="159"/>
      <c r="E168" s="159"/>
      <c r="F168" s="160">
        <f t="shared" si="19"/>
        <v>0</v>
      </c>
      <c r="G168" s="160"/>
      <c r="H168" s="29" t="e">
        <f t="shared" si="16"/>
        <v>#N/A</v>
      </c>
      <c r="I168" s="161" t="e">
        <f t="shared" si="20"/>
        <v>#N/A</v>
      </c>
      <c r="J168" s="161"/>
      <c r="M168" s="22" t="s">
        <v>72</v>
      </c>
      <c r="N168" s="1">
        <v>0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0">
        <f t="shared" si="19"/>
        <v>0</v>
      </c>
      <c r="G169" s="160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0">
        <f t="shared" si="19"/>
        <v>0</v>
      </c>
      <c r="G170" s="160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0">
        <f t="shared" si="19"/>
        <v>0</v>
      </c>
      <c r="G171" s="160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0">
        <f t="shared" si="19"/>
        <v>0</v>
      </c>
      <c r="G172" s="160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0">
        <f t="shared" si="19"/>
        <v>0</v>
      </c>
      <c r="G173" s="160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0">
        <f t="shared" si="19"/>
        <v>0</v>
      </c>
      <c r="G174" s="160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0">
        <f t="shared" si="19"/>
        <v>0</v>
      </c>
      <c r="G175" s="160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0">
        <f t="shared" si="19"/>
        <v>0</v>
      </c>
      <c r="G176" s="160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0">
        <f t="shared" si="19"/>
        <v>0</v>
      </c>
      <c r="G177" s="160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0">
        <f t="shared" si="19"/>
        <v>0</v>
      </c>
      <c r="G178" s="160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0">
        <f t="shared" si="19"/>
        <v>0</v>
      </c>
      <c r="G179" s="160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0">
        <f t="shared" si="19"/>
        <v>0</v>
      </c>
      <c r="G180" s="160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0">
        <f t="shared" si="19"/>
        <v>0</v>
      </c>
      <c r="G181" s="160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0">
        <f t="shared" si="19"/>
        <v>0</v>
      </c>
      <c r="G182" s="160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0">
        <f t="shared" si="19"/>
        <v>0</v>
      </c>
      <c r="G183" s="160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0">
        <f t="shared" si="19"/>
        <v>0</v>
      </c>
      <c r="G184" s="160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0">
        <f t="shared" si="19"/>
        <v>0</v>
      </c>
      <c r="G185" s="160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0">
        <f t="shared" si="19"/>
        <v>0</v>
      </c>
      <c r="G186" s="160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0">
        <f t="shared" si="19"/>
        <v>0</v>
      </c>
      <c r="G187" s="160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62" t="s">
        <v>182</v>
      </c>
      <c r="B190" s="162"/>
      <c r="C190" s="162"/>
      <c r="D190" s="162"/>
      <c r="E190" s="27">
        <f>SUM(F158:G187)</f>
        <v>67019.28</v>
      </c>
    </row>
    <row r="191" spans="1:14" ht="51.75" customHeight="1">
      <c r="A191" s="162" t="s">
        <v>181</v>
      </c>
      <c r="B191" s="162"/>
      <c r="C191" s="162"/>
      <c r="D191" s="162"/>
      <c r="E191" s="27">
        <f>E190+E154-E155</f>
        <v>0</v>
      </c>
    </row>
    <row r="192" spans="1:14">
      <c r="A192" s="104" t="s">
        <v>172</v>
      </c>
    </row>
    <row r="193" spans="1:10" ht="62.25" customHeight="1">
      <c r="A193" s="187" t="s">
        <v>180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 hidden="1">
      <c r="A194" s="186">
        <f>ПТО!F12</f>
        <v>0</v>
      </c>
      <c r="B194" s="186"/>
      <c r="C194" s="186"/>
      <c r="D194" s="186"/>
      <c r="E194" s="186"/>
      <c r="F194" s="186"/>
      <c r="G194" s="186"/>
      <c r="H194" s="49">
        <f>ПТО!G12</f>
        <v>0</v>
      </c>
      <c r="I194" s="50" t="s">
        <v>73</v>
      </c>
    </row>
    <row r="195" spans="1:10" ht="18.75" hidden="1" customHeight="1">
      <c r="A195" s="186">
        <f>ПТО!F13</f>
        <v>0</v>
      </c>
      <c r="B195" s="186"/>
      <c r="C195" s="186"/>
      <c r="D195" s="186"/>
      <c r="E195" s="186"/>
      <c r="F195" s="186"/>
      <c r="G195" s="186"/>
      <c r="H195" s="49">
        <f>ПТО!G13</f>
        <v>0</v>
      </c>
      <c r="I195" s="50" t="s">
        <v>73</v>
      </c>
    </row>
    <row r="196" spans="1:10" ht="18.75" hidden="1" customHeight="1">
      <c r="A196" s="186">
        <f>ПТО!F14</f>
        <v>0</v>
      </c>
      <c r="B196" s="186"/>
      <c r="C196" s="186"/>
      <c r="D196" s="186"/>
      <c r="E196" s="186"/>
      <c r="F196" s="186"/>
      <c r="G196" s="186"/>
      <c r="H196" s="49">
        <f>ПТО!G14</f>
        <v>0</v>
      </c>
      <c r="I196" s="50" t="s">
        <v>73</v>
      </c>
    </row>
    <row r="197" spans="1:10" ht="18.75" hidden="1" customHeight="1">
      <c r="A197" s="186">
        <f>ПТО!F15</f>
        <v>0</v>
      </c>
      <c r="B197" s="186"/>
      <c r="C197" s="186"/>
      <c r="D197" s="186"/>
      <c r="E197" s="186"/>
      <c r="F197" s="186"/>
      <c r="G197" s="186"/>
      <c r="H197" s="49">
        <f>ПТО!G15</f>
        <v>0</v>
      </c>
      <c r="I197" s="50" t="s">
        <v>73</v>
      </c>
    </row>
    <row r="198" spans="1:10" ht="18.75" hidden="1" customHeight="1">
      <c r="A198" s="186">
        <f>ПТО!F16</f>
        <v>0</v>
      </c>
      <c r="B198" s="186"/>
      <c r="C198" s="186"/>
      <c r="D198" s="186"/>
      <c r="E198" s="186"/>
      <c r="F198" s="186"/>
      <c r="G198" s="186"/>
      <c r="H198" s="49">
        <f>ПТО!G16</f>
        <v>0</v>
      </c>
      <c r="I198" s="52" t="s">
        <v>73</v>
      </c>
    </row>
    <row r="199" spans="1:10" ht="18.75" hidden="1" customHeight="1">
      <c r="A199" s="186">
        <f>ПТО!F17</f>
        <v>0</v>
      </c>
      <c r="B199" s="186"/>
      <c r="C199" s="186"/>
      <c r="D199" s="186"/>
      <c r="E199" s="186"/>
      <c r="F199" s="186"/>
      <c r="G199" s="186"/>
      <c r="H199" s="49">
        <f>ПТО!G17</f>
        <v>0</v>
      </c>
      <c r="I199" s="50" t="s">
        <v>73</v>
      </c>
    </row>
    <row r="200" spans="1:10" hidden="1">
      <c r="A200" s="186">
        <f>ПТО!F18</f>
        <v>0</v>
      </c>
      <c r="B200" s="186"/>
      <c r="C200" s="186"/>
      <c r="D200" s="186"/>
      <c r="E200" s="186"/>
      <c r="F200" s="186"/>
      <c r="G200" s="186"/>
      <c r="H200" s="49">
        <f>ПТО!G18</f>
        <v>0</v>
      </c>
      <c r="I200" s="50" t="s">
        <v>73</v>
      </c>
    </row>
    <row r="201" spans="1:10" hidden="1">
      <c r="A201" s="186">
        <f>ПТО!F19</f>
        <v>0</v>
      </c>
      <c r="B201" s="186"/>
      <c r="C201" s="186"/>
      <c r="D201" s="186"/>
      <c r="E201" s="186"/>
      <c r="F201" s="186"/>
      <c r="G201" s="186"/>
      <c r="H201" s="49">
        <f>ПТО!G19</f>
        <v>0</v>
      </c>
      <c r="I201" s="50" t="s">
        <v>73</v>
      </c>
    </row>
    <row r="202" spans="1:10" hidden="1">
      <c r="A202" s="186">
        <f>ПТО!F20</f>
        <v>0</v>
      </c>
      <c r="B202" s="186"/>
      <c r="C202" s="186"/>
      <c r="D202" s="186"/>
      <c r="E202" s="186"/>
      <c r="F202" s="186"/>
      <c r="G202" s="186"/>
      <c r="H202" s="49">
        <f>ПТО!G20</f>
        <v>0</v>
      </c>
      <c r="I202" s="50" t="s">
        <v>73</v>
      </c>
    </row>
    <row r="203" spans="1:10" hidden="1">
      <c r="A203" s="186">
        <f>ПТО!F21</f>
        <v>0</v>
      </c>
      <c r="B203" s="186"/>
      <c r="C203" s="186"/>
      <c r="D203" s="186"/>
      <c r="E203" s="186"/>
      <c r="F203" s="186"/>
      <c r="G203" s="186"/>
      <c r="H203" s="49">
        <f>ПТО!G21</f>
        <v>0</v>
      </c>
      <c r="I203" s="50" t="s">
        <v>73</v>
      </c>
    </row>
    <row r="204" spans="1:10" hidden="1">
      <c r="A204" s="186">
        <f>ПТО!F22</f>
        <v>0</v>
      </c>
      <c r="B204" s="186"/>
      <c r="C204" s="186"/>
      <c r="D204" s="186"/>
      <c r="E204" s="186"/>
      <c r="F204" s="186"/>
      <c r="G204" s="186"/>
      <c r="H204" s="49">
        <f>ПТО!G22</f>
        <v>0</v>
      </c>
      <c r="I204" s="50" t="s">
        <v>73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9">
        <f>ПТО!G23</f>
        <v>0</v>
      </c>
      <c r="I205" s="50" t="s">
        <v>73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9">
        <f>ПТО!G24</f>
        <v>0</v>
      </c>
      <c r="I206" s="50" t="s">
        <v>73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9">
        <f>ПТО!G25</f>
        <v>0</v>
      </c>
      <c r="I207" s="50" t="s">
        <v>73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9">
        <f>ПТО!G26</f>
        <v>0</v>
      </c>
      <c r="I208" s="50" t="s">
        <v>73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9">
        <f>ПТО!G27</f>
        <v>0</v>
      </c>
      <c r="I209" s="50" t="s">
        <v>73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9">
        <f>ПТО!G28</f>
        <v>0</v>
      </c>
      <c r="I210" s="50" t="s">
        <v>73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9">
        <f>ПТО!G29</f>
        <v>0</v>
      </c>
      <c r="I211" s="50" t="s">
        <v>73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9">
        <f>ПТО!G30</f>
        <v>0</v>
      </c>
      <c r="I212" s="50" t="s">
        <v>73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0</v>
      </c>
      <c r="I214" s="56" t="s">
        <v>75</v>
      </c>
    </row>
  </sheetData>
  <sheetProtection algorithmName="SHA-512" hashValue="HQYgZadMGRVFAMgO5AB8nDd1sBQbix/6N3gPESdM77cWX58pE/vVelneUHNc2zbe3k7Pk6UK0oiADZvn8H+xbw==" saltValue="b28QO1EDZBa31H9J+MQ4J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9" sqref="A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179</v>
      </c>
      <c r="G1" s="101">
        <f>7628.28</f>
        <v>7628.28</v>
      </c>
    </row>
    <row r="2" spans="1:12" ht="18.75" customHeight="1">
      <c r="A2" s="148" t="s">
        <v>177</v>
      </c>
      <c r="B2" s="149" t="s">
        <v>175</v>
      </c>
      <c r="C2" s="117">
        <v>12</v>
      </c>
      <c r="D2" s="120">
        <v>5516.64</v>
      </c>
      <c r="E2" s="150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184</v>
      </c>
      <c r="B3" s="129" t="s">
        <v>185</v>
      </c>
      <c r="C3" s="117">
        <v>1</v>
      </c>
      <c r="D3" s="120">
        <v>3382.5</v>
      </c>
      <c r="E3" s="130" t="s">
        <v>186</v>
      </c>
      <c r="F3" s="30"/>
      <c r="G3" s="30"/>
      <c r="L3" s="33" t="str">
        <f t="shared" si="0"/>
        <v>ТР</v>
      </c>
    </row>
    <row r="4" spans="1:12" ht="18.75" customHeight="1">
      <c r="A4" s="155" t="s">
        <v>205</v>
      </c>
      <c r="B4" s="132" t="s">
        <v>185</v>
      </c>
      <c r="C4" s="133">
        <v>1</v>
      </c>
      <c r="D4" s="46">
        <v>750</v>
      </c>
      <c r="E4" s="131" t="s">
        <v>188</v>
      </c>
      <c r="F4" s="30"/>
      <c r="G4" s="30"/>
      <c r="L4" s="33" t="str">
        <f t="shared" si="0"/>
        <v>ТР</v>
      </c>
    </row>
    <row r="5" spans="1:12" ht="18.75" customHeight="1">
      <c r="A5" s="134" t="s">
        <v>187</v>
      </c>
      <c r="B5" s="135" t="s">
        <v>185</v>
      </c>
      <c r="C5" s="136">
        <v>1</v>
      </c>
      <c r="D5" s="137">
        <v>1350</v>
      </c>
      <c r="E5" s="138" t="s">
        <v>189</v>
      </c>
      <c r="F5" s="44"/>
      <c r="G5" s="44"/>
      <c r="K5" s="46"/>
      <c r="L5" s="33" t="str">
        <f t="shared" si="0"/>
        <v>ТР</v>
      </c>
    </row>
    <row r="6" spans="1:12" ht="18.75" customHeight="1">
      <c r="A6" s="144" t="s">
        <v>190</v>
      </c>
      <c r="B6" s="143" t="s">
        <v>185</v>
      </c>
      <c r="C6" s="142">
        <v>1</v>
      </c>
      <c r="D6" s="145">
        <v>542.4</v>
      </c>
      <c r="E6" s="146" t="s">
        <v>191</v>
      </c>
      <c r="F6" s="44"/>
      <c r="G6" s="44"/>
      <c r="K6" s="46"/>
      <c r="L6" s="33" t="str">
        <f t="shared" si="0"/>
        <v>ТР</v>
      </c>
    </row>
    <row r="7" spans="1:12" ht="18.75" customHeight="1">
      <c r="A7" s="147" t="s">
        <v>195</v>
      </c>
      <c r="B7" s="141" t="s">
        <v>185</v>
      </c>
      <c r="C7" s="121">
        <v>1</v>
      </c>
      <c r="D7" s="122">
        <v>2700</v>
      </c>
      <c r="E7" s="140" t="s">
        <v>192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194</v>
      </c>
      <c r="B8" s="139" t="s">
        <v>185</v>
      </c>
      <c r="C8" s="117">
        <v>1</v>
      </c>
      <c r="D8" s="120">
        <v>500</v>
      </c>
      <c r="E8" s="140" t="s">
        <v>193</v>
      </c>
      <c r="F8" s="45"/>
      <c r="G8" s="45"/>
      <c r="K8" s="43"/>
      <c r="L8" s="33" t="str">
        <f t="shared" si="0"/>
        <v>ТР</v>
      </c>
    </row>
    <row r="9" spans="1:12">
      <c r="A9" s="158" t="s">
        <v>207</v>
      </c>
      <c r="B9" s="156" t="s">
        <v>185</v>
      </c>
      <c r="C9" s="157">
        <v>1</v>
      </c>
      <c r="D9" s="43">
        <v>52277.74</v>
      </c>
      <c r="E9" s="44" t="s">
        <v>206</v>
      </c>
      <c r="F9" s="44"/>
      <c r="G9" s="44"/>
      <c r="K9" s="43"/>
      <c r="L9" s="33" t="str">
        <f t="shared" si="0"/>
        <v>ТР</v>
      </c>
    </row>
    <row r="10" spans="1:12">
      <c r="A10" s="123"/>
      <c r="B10" s="124"/>
      <c r="C10" s="125"/>
      <c r="D10" s="126"/>
      <c r="E10" s="127"/>
      <c r="L10" s="33">
        <f t="shared" si="0"/>
        <v>0</v>
      </c>
    </row>
    <row r="11" spans="1:12" ht="94.5">
      <c r="A11" s="30"/>
      <c r="F11" s="111" t="s">
        <v>180</v>
      </c>
      <c r="G11" s="111"/>
      <c r="L11" s="33">
        <f t="shared" si="0"/>
        <v>0</v>
      </c>
    </row>
    <row r="12" spans="1:12" ht="15.75">
      <c r="A12" s="30"/>
      <c r="F12" s="112"/>
      <c r="G12" s="113"/>
      <c r="L12" s="33">
        <f t="shared" si="0"/>
        <v>0</v>
      </c>
    </row>
    <row r="13" spans="1:12" ht="15.75">
      <c r="A13" s="30"/>
      <c r="F13" s="112"/>
      <c r="G13" s="113"/>
      <c r="L13" s="33">
        <f t="shared" si="0"/>
        <v>0</v>
      </c>
    </row>
    <row r="14" spans="1:12" ht="15.75">
      <c r="A14" s="30"/>
      <c r="F14" s="118"/>
      <c r="G14" s="119"/>
      <c r="L14" s="33">
        <f t="shared" si="0"/>
        <v>0</v>
      </c>
    </row>
    <row r="15" spans="1:12" ht="15.75">
      <c r="A15" s="30"/>
      <c r="F15" s="118"/>
      <c r="G15" s="119"/>
      <c r="L15" s="33">
        <f t="shared" si="0"/>
        <v>0</v>
      </c>
    </row>
    <row r="16" spans="1:12" ht="15.75">
      <c r="A16" s="30"/>
      <c r="F16" s="118"/>
      <c r="G16" s="119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14518.56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14518.56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54650.28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54650.28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29174.16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29174.16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16436.16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16436.16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6848.4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6848.4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28763.279999999999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197</v>
      </c>
      <c r="B46" s="151">
        <f>(E46*G52*F54*6+E46*G52*G54*6)+(F46*G58*F60*6+F46*G58*G60*6)+(F46*G62*F64*6+F46*G62*G64*6)</f>
        <v>25033.43475</v>
      </c>
      <c r="C46" s="152" t="s">
        <v>68</v>
      </c>
      <c r="D46" s="48">
        <v>12</v>
      </c>
      <c r="E46" s="151">
        <v>588.29999999999995</v>
      </c>
      <c r="F46" s="151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3"/>
      <c r="C47" s="152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4" t="s">
        <v>198</v>
      </c>
      <c r="F51" s="154" t="s">
        <v>199</v>
      </c>
      <c r="G51" s="154" t="s">
        <v>200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4"/>
      <c r="F52" s="151">
        <v>1129.2</v>
      </c>
      <c r="G52" s="154">
        <v>2.5</v>
      </c>
      <c r="H52" s="154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4"/>
      <c r="F53" s="154" t="s">
        <v>201</v>
      </c>
      <c r="G53" s="154" t="s">
        <v>202</v>
      </c>
      <c r="H53" s="154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4"/>
      <c r="F54" s="154">
        <v>1.17</v>
      </c>
      <c r="G54" s="154">
        <v>1.23</v>
      </c>
      <c r="H54" s="154"/>
    </row>
    <row r="55" spans="5:16">
      <c r="E55" s="154"/>
      <c r="F55" s="154"/>
      <c r="G55" s="154">
        <v>21</v>
      </c>
      <c r="H55" s="154"/>
    </row>
    <row r="56" spans="5:16">
      <c r="E56" s="154"/>
      <c r="F56" s="154"/>
      <c r="G56" s="154"/>
      <c r="H56" s="154"/>
    </row>
    <row r="57" spans="5:16">
      <c r="E57" s="154" t="s">
        <v>203</v>
      </c>
      <c r="F57" s="154"/>
      <c r="G57" s="154"/>
      <c r="H57" s="154"/>
    </row>
    <row r="58" spans="5:16">
      <c r="E58" s="154"/>
      <c r="F58" s="151">
        <f>F52</f>
        <v>1129.2</v>
      </c>
      <c r="G58" s="154">
        <v>7.4999999999999997E-2</v>
      </c>
      <c r="H58" s="154">
        <f>G58*F46</f>
        <v>10.987499999999999</v>
      </c>
    </row>
    <row r="59" spans="5:16">
      <c r="E59" s="154"/>
      <c r="F59" s="154" t="s">
        <v>201</v>
      </c>
      <c r="G59" s="154" t="s">
        <v>202</v>
      </c>
      <c r="H59" s="154">
        <f>H58/F58</f>
        <v>9.7303400637619546E-3</v>
      </c>
    </row>
    <row r="60" spans="5:16">
      <c r="E60" s="154"/>
      <c r="F60" s="154">
        <v>12.94</v>
      </c>
      <c r="G60" s="154">
        <v>13.45</v>
      </c>
      <c r="H60" s="154">
        <f>H59*G55</f>
        <v>0.20433714133900105</v>
      </c>
    </row>
    <row r="61" spans="5:16">
      <c r="E61" s="154" t="s">
        <v>204</v>
      </c>
      <c r="F61" s="154"/>
      <c r="G61" s="154"/>
      <c r="H61" s="154"/>
    </row>
    <row r="62" spans="5:16">
      <c r="E62" s="154"/>
      <c r="F62" s="151">
        <f>F52</f>
        <v>1129.2</v>
      </c>
      <c r="G62" s="154">
        <v>7.4999999999999997E-2</v>
      </c>
      <c r="H62" s="154">
        <f>G62*F46</f>
        <v>10.987499999999999</v>
      </c>
    </row>
    <row r="63" spans="5:16">
      <c r="E63" s="154"/>
      <c r="F63" s="154" t="s">
        <v>201</v>
      </c>
      <c r="G63" s="154" t="s">
        <v>202</v>
      </c>
      <c r="H63" s="154">
        <f>H62/F62</f>
        <v>9.7303400637619546E-3</v>
      </c>
    </row>
    <row r="64" spans="5:16">
      <c r="E64" s="154"/>
      <c r="F64" s="154">
        <v>15.73</v>
      </c>
      <c r="G64" s="154">
        <v>16.350000000000001</v>
      </c>
      <c r="H64" s="154">
        <f>H63*G55</f>
        <v>0.20433714133900105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33" sqref="F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1141.4000000000001</v>
      </c>
    </row>
    <row r="2" spans="1:10" ht="15.75" customHeight="1">
      <c r="A2" s="70" t="s">
        <v>80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4</v>
      </c>
      <c r="C4" s="83">
        <v>110643.15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5</v>
      </c>
      <c r="C5" s="79">
        <f>SUM(C6:C8)</f>
        <v>227934.52000000002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6</v>
      </c>
      <c r="C6" s="83">
        <v>153286.96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7</v>
      </c>
      <c r="C7" s="83">
        <f>F1*5.45*12</f>
        <v>74647.560000000012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9</v>
      </c>
      <c r="C9" s="79">
        <f>SUM(C10:C14)</f>
        <v>219762.93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10</v>
      </c>
      <c r="C10" s="83">
        <v>219762.93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15</v>
      </c>
      <c r="C15" s="79">
        <f>C9</f>
        <v>219762.93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18</v>
      </c>
      <c r="C18" s="79">
        <f>IF(C16&gt;0,0,IF(C4&gt;0,C4+C5-C9,C5-C2-C9))</f>
        <v>118814.74000000005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98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99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100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160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103</v>
      </c>
      <c r="B27" s="75" t="s">
        <v>4</v>
      </c>
      <c r="C27" s="86">
        <v>26390.36</v>
      </c>
      <c r="D27" s="81" t="s">
        <v>60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106</v>
      </c>
      <c r="B30" s="75" t="s">
        <v>18</v>
      </c>
      <c r="C30" s="86">
        <v>51048.82</v>
      </c>
      <c r="D30" s="81" t="s">
        <v>66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107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108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109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110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21549.14</v>
      </c>
      <c r="F37" s="94" t="s">
        <v>165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111</v>
      </c>
      <c r="B38" s="78" t="s">
        <v>37</v>
      </c>
      <c r="C38" s="90">
        <v>17957.62</v>
      </c>
      <c r="D38" s="94" t="s">
        <v>163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112</v>
      </c>
      <c r="B39" s="78" t="s">
        <v>38</v>
      </c>
      <c r="C39" s="91">
        <v>19904.95</v>
      </c>
      <c r="D39" s="94" t="s">
        <v>164</v>
      </c>
      <c r="E39" s="68"/>
      <c r="G39" s="67"/>
      <c r="H39" s="67"/>
      <c r="L39" s="63"/>
      <c r="M39" s="188"/>
      <c r="N39" s="63"/>
      <c r="O39" s="63"/>
    </row>
    <row r="40" spans="1:15" ht="18.75" customHeight="1">
      <c r="A40" s="70" t="s">
        <v>113</v>
      </c>
      <c r="B40" s="78" t="s">
        <v>39</v>
      </c>
      <c r="C40" s="93">
        <f>IF(E37-C39&lt;0,0,E37-C39)</f>
        <v>1644.1899999999987</v>
      </c>
      <c r="D40" s="80" t="s">
        <v>59</v>
      </c>
      <c r="E40" s="68"/>
      <c r="G40" s="67"/>
      <c r="H40" s="67"/>
      <c r="L40" s="63"/>
      <c r="M40" s="188"/>
      <c r="N40" s="63"/>
      <c r="O40" s="63"/>
    </row>
    <row r="41" spans="1:15" ht="18.75" customHeight="1">
      <c r="A41" s="70" t="s">
        <v>114</v>
      </c>
      <c r="B41" s="78" t="s">
        <v>40</v>
      </c>
      <c r="C41" s="93">
        <f>E37</f>
        <v>21549.14</v>
      </c>
      <c r="D41" s="80" t="s">
        <v>59</v>
      </c>
      <c r="E41" s="68"/>
      <c r="G41" s="67"/>
      <c r="H41" s="67"/>
      <c r="L41" s="63"/>
      <c r="M41" s="188"/>
      <c r="N41" s="63"/>
      <c r="O41" s="63"/>
    </row>
    <row r="42" spans="1:15" ht="18.75" customHeight="1">
      <c r="A42" s="70" t="s">
        <v>115</v>
      </c>
      <c r="B42" s="78" t="s">
        <v>41</v>
      </c>
      <c r="C42" s="93">
        <f>E37</f>
        <v>21549.14</v>
      </c>
      <c r="D42" s="80" t="s">
        <v>59</v>
      </c>
      <c r="E42" s="68"/>
      <c r="G42" s="67"/>
      <c r="H42" s="67"/>
      <c r="L42" s="63"/>
      <c r="M42" s="188"/>
      <c r="N42" s="63"/>
      <c r="O42" s="63"/>
    </row>
    <row r="43" spans="1:15" ht="18.75" customHeight="1">
      <c r="A43" s="70" t="s">
        <v>116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117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119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37049.370000000003</v>
      </c>
      <c r="F45" s="94" t="s">
        <v>165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120</v>
      </c>
      <c r="B46" s="78" t="s">
        <v>37</v>
      </c>
      <c r="C46" s="90">
        <v>2806.77</v>
      </c>
      <c r="D46" s="94" t="s">
        <v>166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121</v>
      </c>
      <c r="B47" s="78" t="s">
        <v>38</v>
      </c>
      <c r="C47" s="91">
        <v>31313.759999999998</v>
      </c>
      <c r="D47" s="94" t="s">
        <v>164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122</v>
      </c>
      <c r="B48" s="78" t="s">
        <v>39</v>
      </c>
      <c r="C48" s="93">
        <f>IF(E45-C47&lt;0,0,E45-C47)</f>
        <v>5735.6100000000042</v>
      </c>
      <c r="D48" s="80" t="s">
        <v>59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123</v>
      </c>
      <c r="B49" s="78" t="s">
        <v>40</v>
      </c>
      <c r="C49" s="93">
        <f>E45</f>
        <v>37049.370000000003</v>
      </c>
      <c r="D49" s="80" t="s">
        <v>59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124</v>
      </c>
      <c r="B50" s="78" t="s">
        <v>41</v>
      </c>
      <c r="C50" s="93">
        <f>E45</f>
        <v>37049.370000000003</v>
      </c>
      <c r="D50" s="80" t="s">
        <v>59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127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74178.490000000005</v>
      </c>
      <c r="F53" s="94" t="s">
        <v>165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128</v>
      </c>
      <c r="B54" s="75" t="s">
        <v>37</v>
      </c>
      <c r="C54" s="98">
        <v>4624.59</v>
      </c>
      <c r="D54" s="94" t="s">
        <v>166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129</v>
      </c>
      <c r="B55" s="75" t="s">
        <v>38</v>
      </c>
      <c r="C55" s="86">
        <v>61425.45</v>
      </c>
      <c r="D55" s="94" t="s">
        <v>164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130</v>
      </c>
      <c r="B56" s="75" t="s">
        <v>39</v>
      </c>
      <c r="C56" s="93">
        <f>IF(E53-C55&lt;0,0,E53-C55)</f>
        <v>12753.040000000008</v>
      </c>
      <c r="D56" s="80" t="s">
        <v>59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131</v>
      </c>
      <c r="B57" s="75" t="s">
        <v>40</v>
      </c>
      <c r="C57" s="93">
        <f>E53</f>
        <v>74178.490000000005</v>
      </c>
      <c r="D57" s="80" t="s">
        <v>59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132</v>
      </c>
      <c r="B58" s="75" t="s">
        <v>41</v>
      </c>
      <c r="C58" s="93">
        <f>E53</f>
        <v>74178.490000000005</v>
      </c>
      <c r="D58" s="80" t="s">
        <v>59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37</v>
      </c>
      <c r="C62" s="98">
        <v>0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38</v>
      </c>
      <c r="C63" s="86">
        <v>0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139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140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 t="str">
        <f>IF(E69&gt;0,"Предоставляется",0)</f>
        <v>Предоставляется</v>
      </c>
      <c r="D69" s="96" t="s">
        <v>55</v>
      </c>
      <c r="E69" s="95">
        <v>24016.13</v>
      </c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37</v>
      </c>
      <c r="C70" s="98">
        <v>1819.4</v>
      </c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38</v>
      </c>
      <c r="C71" s="86">
        <v>19490.509999999998</v>
      </c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39</v>
      </c>
      <c r="C72" s="93">
        <f>IF(E69-C71&lt;0,0,E69-C71)</f>
        <v>4525.6200000000026</v>
      </c>
      <c r="D72" s="80" t="s">
        <v>59</v>
      </c>
      <c r="E72" s="69"/>
      <c r="G72" s="64"/>
      <c r="H72" s="64"/>
    </row>
    <row r="73" spans="1:8" ht="15.75" customHeight="1">
      <c r="A73" s="73" t="s">
        <v>147</v>
      </c>
      <c r="B73" s="75" t="s">
        <v>40</v>
      </c>
      <c r="C73" s="93">
        <f>E69</f>
        <v>24016.13</v>
      </c>
      <c r="D73" s="80" t="s">
        <v>59</v>
      </c>
      <c r="E73" s="69"/>
      <c r="G73" s="64"/>
      <c r="H73" s="64"/>
    </row>
    <row r="74" spans="1:8" ht="15.75" customHeight="1">
      <c r="A74" s="73" t="s">
        <v>148</v>
      </c>
      <c r="B74" s="75" t="s">
        <v>41</v>
      </c>
      <c r="C74" s="93">
        <f>E69</f>
        <v>24016.13</v>
      </c>
      <c r="D74" s="80" t="s">
        <v>59</v>
      </c>
      <c r="E74" s="69"/>
      <c r="G74" s="64"/>
      <c r="H74" s="64"/>
    </row>
    <row r="75" spans="1:8" ht="15.75" customHeight="1">
      <c r="A75" s="73" t="s">
        <v>149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37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38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155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156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2022-03-25T08:16:36Z</dcterms:modified>
</cp:coreProperties>
</file>