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4" i="2" l="1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22" i="1" l="1"/>
  <c r="A118" i="1"/>
  <c r="A123" i="1"/>
  <c r="A141" i="1"/>
  <c r="F134" i="1"/>
  <c r="A137" i="1"/>
  <c r="D118" i="1"/>
  <c r="A120" i="1"/>
  <c r="A124" i="1"/>
  <c r="F118" i="1"/>
  <c r="A121" i="1"/>
  <c r="A110" i="1"/>
  <c r="A111" i="1"/>
  <c r="A115" i="1"/>
  <c r="D110" i="1"/>
  <c r="A112" i="1"/>
  <c r="A116" i="1"/>
  <c r="F110" i="1"/>
  <c r="A113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<sst xmlns="http://schemas.openxmlformats.org/spreadsheetml/2006/main" count="570" uniqueCount="215">
  <si>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</si>
  <si>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</si>
  <si>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</si>
  <si>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</si>
  <si>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</si>
  <si>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</si>
  <si>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</si>
  <si>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</si>
  <si>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</si>
  <si>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</si>
  <si>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</si>
  <si>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</si>
  <si>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</si>
  <si>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</si>
  <si>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</si>
  <si>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</si>
  <si>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</si>
  <si>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</si>
  <si>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</si>
  <si>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</si>
  <si>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</si>
  <si>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</si>
  <si>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</si>
  <si>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</si>
  <si>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</si>
  <si>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</si>
  <si>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</si>
  <si>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</si>
  <si>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</si>
  <si>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</si>
  <si>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</si>
  <si>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</si>
  <si>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</si>
  <si>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</si>
  <si>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</si>
  <si>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</si>
  <si>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</si>
  <si>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</si>
  <si>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</si>
  <si>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</si>
  <si>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</si>
  <si>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</si>
  <si>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</si>
  <si>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</si>
  <si>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</si>
  <si>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</si>
  <si>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</si>
  <si>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</si>
  <si>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</si>
  <si>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</si>
  <si>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</si>
  <si>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</si>
  <si>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</si>
  <si>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</si>
  <si>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</si>
  <si>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</si>
  <si>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</si>
  <si>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</si>
  <si>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</si>
  <si>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</si>
  <si>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</si>
  <si>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</si>
  <si>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</si>
  <si>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</si>
  <si>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</si>
  <si>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</si>
  <si>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</si>
  <si>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</si>
  <si>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</si>
  <si>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</si>
  <si>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</si>
  <si>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</si>
  <si>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</si>
  <si>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</si>
  <si>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</si>
  <si>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</si>
  <si>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</si>
  <si>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</si>
  <si>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</si>
  <si>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</si>
  <si>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</si>
  <si>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</si>
  <si>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</si>
  <si>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</si>
  <si>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</si>
  <si>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</si>
  <si>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</si>
  <si>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</si>
  <si>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</si>
  <si>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</si>
  <si>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</si>
  <si>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</si>
  <si>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</si>
  <si>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</si>
  <si>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</si>
  <si>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</si>
  <si>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</si>
  <si>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</si>
  <si>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</si>
  <si>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</si>
  <si>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</si>
  <si>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</si>
  <si>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</si>
  <si>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</si>
  <si>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</si>
  <si>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</si>
  <si>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</si>
  <si>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</si>
  <si>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</si>
  <si>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</si>
  <si>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</si>
  <si>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</si>
  <si>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</si>
  <si>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</si>
  <si>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</si>
  <si>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</si>
  <si>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</si>
  <si>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</si>
  <si>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</si>
  <si>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</si>
  <si>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</si>
  <si>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</si>
  <si>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</si>
  <si>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</si>
  <si>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</si>
  <si>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</si>
  <si>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</si>
  <si>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</si>
  <si>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</si>
  <si>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</si>
  <si>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</si>
  <si>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</si>
  <si>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</si>
  <si>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</si>
  <si>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</si>
  <si>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</si>
  <si>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</si>
  <si>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</si>
  <si>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</si>
  <si>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</si>
  <si>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</si>
  <si>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</si>
  <si>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</si>
  <si>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</si>
  <si>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</si>
  <si>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</si>
  <si>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</si>
  <si>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</si>
  <si>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</si>
  <si>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</si>
  <si>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</si>
  <si>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</si>
  <si>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</si>
  <si>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</si>
  <si>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</si>
  <si>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</si>
  <si>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</si>
  <si>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</si>
  <si>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</si>
  <si>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</si>
  <si>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</si>
  <si>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</si>
  <si>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</si>
  <si>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</si>
  <si>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</si>
  <si>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</si>
  <si>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</si>
  <si>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</si>
  <si>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</si>
  <si>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</si>
  <si>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</si>
  <si>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</si>
  <si>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</si>
  <si>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</si>
  <si>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</si>
  <si>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</si>
  <si>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</si>
  <si>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2</t>
  </si>
  <si>
    <t>Отчет об исполнении договора управления многоквартирного дома 
Мамина-Сибиряка, 2 в части текущего ремонта</t>
  </si>
  <si>
    <t xml:space="preserve">Техническое освидетельствование лифта. </t>
  </si>
  <si>
    <t>Техническое обслуживание охранной сигнализации.</t>
  </si>
  <si>
    <t>ежемесячно</t>
  </si>
  <si>
    <t>ежегодно</t>
  </si>
  <si>
    <t>площадь дома</t>
  </si>
  <si>
    <t>Перерасход (+) или экономия 
(-) средств в 2019 году (руб.)</t>
  </si>
  <si>
    <t>Начислено за  текущий ремонт в 2020 году (руб.):</t>
  </si>
  <si>
    <t>Итого выполнено работ в 2020 года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</si>
  <si>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</si>
  <si>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</si>
  <si>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Уборка снега с придомовой территории.</t>
  </si>
  <si>
    <t>разово</t>
  </si>
  <si>
    <t>Приобретение и установка таблички по пожарной безопасности.</t>
  </si>
  <si>
    <t>Приобретение новогодней елки и гирлянды.</t>
  </si>
  <si>
    <t>Приобретение цветочных горшков в подъезде.</t>
  </si>
  <si>
    <t>АВР 4/20 от 16.06.2020</t>
  </si>
  <si>
    <t>Благоустройство придомовой территории (приобретение саженцев и рассады).</t>
  </si>
  <si>
    <t>АВР 5/20 от 16.06.2020</t>
  </si>
  <si>
    <t>Благоустройство придомовой территории (приобретение чернозема).</t>
  </si>
  <si>
    <t>АВР 6/20 от 16.06.2020</t>
  </si>
  <si>
    <t>Монтаж системы диспетчеризации лифта.</t>
  </si>
  <si>
    <t>Ремонт прибора учета тепловой энергии.</t>
  </si>
  <si>
    <t>Приобретение и укладка грязезащитного коврика в тамбур подъезда.</t>
  </si>
  <si>
    <t>АВР 7/20 от 03.12.20, Решение, счет №96 от 10.11.2020</t>
  </si>
  <si>
    <t>АВР 1/20 от 31.01.2020, чек Рич Фемили</t>
  </si>
  <si>
    <t>АВР 2/20 от 29.02.2020, служебка</t>
  </si>
  <si>
    <t>АВР 3/20 от 12.03.2020, счет от 12.03.2020</t>
  </si>
  <si>
    <t>АВР 8/20 от 30.12.2020, счет №176 от 07.10.2020</t>
  </si>
  <si>
    <t>АВР 9/20 от 31.12.2020, счет №301 от 05.11.2020</t>
  </si>
  <si>
    <t>Замена трансформаторов тока и ОДПУ электрической энергии.</t>
  </si>
  <si>
    <t>АВР 10/20 от 20.11.2020</t>
  </si>
  <si>
    <t>АВР 11/20 от 27.01.2021</t>
  </si>
  <si>
    <t xml:space="preserve">  -  ремонт видеонаблюдения</t>
  </si>
  <si>
    <t xml:space="preserve">  -  ремонт подъезда</t>
  </si>
  <si>
    <t xml:space="preserve">  -  монтаж греющего кабеля на фановые трубы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</si>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</sst>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4" fontId="10" fillId="0" borderId="0" xfId="5" applyNumberFormat="1" applyBorder="1" applyAlignment="1">
      <alignment vertical="center"/>
    </xf>
    <xf numFmtId="0" fontId="10" fillId="0" borderId="0" xfId="5" applyBorder="1" applyAlignment="1">
      <alignment horizontal="center"/>
    </xf>
    <xf numFmtId="0" fontId="10" fillId="0" borderId="0" xfId="5" applyNumberFormat="1" applyBorder="1" applyAlignment="1">
      <alignment horizontal="center"/>
    </xf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1" fontId="3" fillId="0" borderId="0" xfId="10" applyNumberFormat="1" applyFill="1" applyBorder="1" applyAlignment="1">
      <alignment horizontal="center"/>
    </xf>
    <xf numFmtId="4" fontId="3" fillId="0" borderId="0" xfId="10" applyNumberFormat="1" applyFill="1" applyBorder="1" applyAlignment="1"/>
    <xf numFmtId="0" fontId="0" fillId="0" borderId="0" xfId="0" applyFill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>
      <alignment vertical="center"/>
    </xf>
    <xf numFmtId="0" fontId="0" fillId="0" borderId="0" xfId="0" applyFill="1" applyBorder="1"/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49" fontId="17" fillId="0" borderId="0" xfId="0" applyNumberFormat="1" applyFont="1" applyAlignment="1">
      <alignment wrapText="1"/>
    </xf>
    <xf numFmtId="0" fontId="1" fillId="0" borderId="0" xfId="5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9" sqref="K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5" t="s">
        <v>177</v>
      </c>
      <c r="B2" s="175"/>
      <c r="C2" s="175"/>
      <c r="D2" s="175"/>
      <c r="E2" s="175"/>
      <c r="F2" s="175"/>
      <c r="G2" s="175"/>
      <c r="H2" s="175"/>
      <c r="I2" s="175"/>
      <c r="J2" s="17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9" t="s">
        <v>2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11"/>
      <c r="L8" s="176"/>
      <c r="M8" s="111"/>
      <c r="N8" s="111"/>
      <c r="O8" s="72" t="s">
        <v>82</v>
      </c>
      <c r="R8" s="16"/>
    </row>
    <row r="9" spans="1:18" ht="18.75" customHeight="1" outlineLevel="1">
      <c r="A9" s="169" t="s">
        <v>3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11"/>
      <c r="L9" s="176"/>
      <c r="M9" s="111"/>
      <c r="N9" s="111"/>
      <c r="O9" s="72" t="s">
        <v>83</v>
      </c>
    </row>
    <row r="10" spans="1:18" ht="18.75" customHeight="1" outlineLevel="1">
      <c r="A10" s="169" t="s">
        <v>4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210233.09</v>
      </c>
      <c r="K10" s="111"/>
      <c r="L10" s="176"/>
      <c r="M10" s="111"/>
      <c r="N10" s="111"/>
      <c r="O10" s="72" t="s">
        <v>84</v>
      </c>
    </row>
    <row r="11" spans="1:18" outlineLevel="1">
      <c r="A11" s="169" t="s">
        <v>5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457028.174</v>
      </c>
      <c r="K11" s="111"/>
      <c r="L11" s="176"/>
      <c r="M11" s="111"/>
      <c r="N11" s="111"/>
      <c r="O11" s="72" t="s">
        <v>85</v>
      </c>
    </row>
    <row r="12" spans="1:18" ht="18.75" customHeight="1" outlineLevel="1">
      <c r="A12" s="169" t="s">
        <v>6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349906.07</v>
      </c>
      <c r="K12" s="111"/>
      <c r="L12" s="176"/>
      <c r="M12" s="111"/>
      <c r="N12" s="111"/>
      <c r="O12" s="72" t="s">
        <v>86</v>
      </c>
    </row>
    <row r="13" spans="1:18" ht="18.75" customHeight="1" outlineLevel="1">
      <c r="A13" s="169" t="s">
        <v>7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107122.10400000001</v>
      </c>
      <c r="K13" s="111"/>
      <c r="L13" s="176"/>
      <c r="M13" s="111"/>
      <c r="N13" s="111"/>
      <c r="O13" s="72" t="s">
        <v>87</v>
      </c>
    </row>
    <row r="14" spans="1:18" ht="18.75" customHeight="1" outlineLevel="1">
      <c r="A14" s="169" t="s">
        <v>8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11"/>
      <c r="L14" s="176"/>
      <c r="M14" s="111"/>
      <c r="N14" s="111"/>
      <c r="O14" s="72" t="s">
        <v>88</v>
      </c>
    </row>
    <row r="15" spans="1:18" ht="18.75" customHeight="1" outlineLevel="1">
      <c r="A15" s="169" t="s">
        <v>9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471665.17999999993</v>
      </c>
      <c r="K15" s="111"/>
      <c r="L15" s="176"/>
      <c r="M15" s="111"/>
      <c r="N15" s="111"/>
      <c r="O15" s="72" t="s">
        <v>89</v>
      </c>
    </row>
    <row r="16" spans="1:18" ht="18.75" customHeight="1" outlineLevel="1">
      <c r="A16" s="169" t="s">
        <v>10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471665.17999999993</v>
      </c>
      <c r="K16" s="111"/>
      <c r="L16" s="176"/>
      <c r="M16" s="111"/>
      <c r="N16" s="111"/>
      <c r="O16" s="72" t="s">
        <v>90</v>
      </c>
    </row>
    <row r="17" spans="1:23" ht="18.75" customHeight="1" outlineLevel="1">
      <c r="A17" s="169" t="s">
        <v>11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11"/>
      <c r="L17" s="176"/>
      <c r="M17" s="111"/>
      <c r="N17" s="111"/>
      <c r="O17" s="72" t="s">
        <v>91</v>
      </c>
    </row>
    <row r="18" spans="1:23" ht="18.75" customHeight="1" outlineLevel="1">
      <c r="A18" s="169" t="s">
        <v>12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11"/>
      <c r="L18" s="176"/>
      <c r="M18" s="111"/>
      <c r="N18" s="111"/>
      <c r="O18" s="72" t="s">
        <v>92</v>
      </c>
    </row>
    <row r="19" spans="1:23" ht="18.75" customHeight="1" outlineLevel="1">
      <c r="A19" s="169" t="s">
        <v>13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11"/>
      <c r="L19" s="176"/>
      <c r="M19" s="111"/>
      <c r="N19" s="111"/>
      <c r="O19" s="72" t="s">
        <v>93</v>
      </c>
    </row>
    <row r="20" spans="1:23" ht="18.75" customHeight="1" outlineLevel="1">
      <c r="A20" s="169" t="s">
        <v>14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11"/>
      <c r="L20" s="176"/>
      <c r="M20" s="111"/>
      <c r="N20" s="111"/>
      <c r="O20" s="72" t="s">
        <v>94</v>
      </c>
    </row>
    <row r="21" spans="1:23" ht="18.75" customHeight="1" outlineLevel="1">
      <c r="A21" s="169" t="s">
        <v>15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471665.17999999993</v>
      </c>
      <c r="K21" s="111"/>
      <c r="L21" s="176"/>
      <c r="M21" s="111"/>
      <c r="N21" s="111"/>
      <c r="O21" s="72" t="s">
        <v>95</v>
      </c>
    </row>
    <row r="22" spans="1:23" ht="18.75" customHeight="1" outlineLevel="1">
      <c r="A22" s="169" t="s">
        <v>16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11"/>
      <c r="L22" s="176"/>
      <c r="M22" s="111"/>
      <c r="N22" s="111"/>
      <c r="O22" s="72" t="s">
        <v>96</v>
      </c>
    </row>
    <row r="23" spans="1:23" ht="18.75" customHeight="1" outlineLevel="1">
      <c r="A23" s="169" t="s">
        <v>17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11"/>
      <c r="L23" s="176"/>
      <c r="M23" s="111"/>
      <c r="N23" s="111"/>
      <c r="O23" s="72" t="s">
        <v>97</v>
      </c>
    </row>
    <row r="24" spans="1:23" ht="18.75" customHeight="1" outlineLevel="1">
      <c r="A24" s="169" t="s">
        <v>18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195596.08400000003</v>
      </c>
      <c r="K24" s="111"/>
      <c r="L24" s="176"/>
      <c r="M24" s="111"/>
      <c r="N24" s="111"/>
      <c r="O24" s="72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11"/>
      <c r="L27" s="17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69154.8</v>
      </c>
      <c r="G28" s="165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11"/>
      <c r="L28" s="17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60"/>
      <c r="C29" s="160"/>
      <c r="D29" s="160"/>
      <c r="E29" s="160"/>
      <c r="F29" s="165">
        <f>VLOOKUP(A29,ПТО!$A$39:$D$53,2,FALSE)</f>
        <v>90172.44</v>
      </c>
      <c r="G29" s="165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11"/>
      <c r="L29" s="177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46781.16</v>
      </c>
      <c r="G30" s="165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11"/>
      <c r="L30" s="17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27119.52</v>
      </c>
      <c r="G31" s="165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11"/>
      <c r="L31" s="17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11"/>
      <c r="L32" s="17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9039.84</v>
      </c>
      <c r="G33" s="165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11"/>
      <c r="L33" s="17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50397.120000000003</v>
      </c>
      <c r="G34" s="165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11"/>
      <c r="L34" s="17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Работы по содержанию лифта (лифтов)</v>
      </c>
      <c r="B35" s="160"/>
      <c r="C35" s="160"/>
      <c r="D35" s="160"/>
      <c r="E35" s="160"/>
      <c r="F35" s="165">
        <f>VLOOKUP(A35,ПТО!$A$39:$D$53,2,FALSE)</f>
        <v>54013.08</v>
      </c>
      <c r="G35" s="165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11"/>
      <c r="L35" s="177"/>
      <c r="M35" s="118"/>
      <c r="N35" s="111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11"/>
      <c r="L36" s="17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5" t="e">
        <f>VLOOKUP(A37,ПТО!$A$39:$D$53,2,FALSE)</f>
        <v>#N/A</v>
      </c>
      <c r="G37" s="165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11"/>
      <c r="L37" s="17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11"/>
      <c r="L38" s="17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11"/>
      <c r="L39" s="17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11"/>
      <c r="L40" s="17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11"/>
      <c r="L41" s="17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11"/>
      <c r="L42" s="17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 xml:space="preserve">Техническое освидетельствование лифта. </v>
      </c>
      <c r="B43" s="160"/>
      <c r="C43" s="160"/>
      <c r="D43" s="160"/>
      <c r="E43" s="160"/>
      <c r="F43" s="165">
        <f>VLOOKUP(A43,ПТО!$A$2:$D$31,4,FALSE)</f>
        <v>8100</v>
      </c>
      <c r="G43" s="165"/>
      <c r="H43" s="19" t="str">
        <f>VLOOKUP(A43,ПТО!$A$2:$D$31,2,FALSE)</f>
        <v>ежегодно</v>
      </c>
      <c r="I43" s="161">
        <f>VLOOKUP(A43,ПТО!$A$2:$D$31,3,FALSE)</f>
        <v>1</v>
      </c>
      <c r="J43" s="161"/>
      <c r="K43" s="111"/>
      <c r="L43" s="177"/>
      <c r="M43" s="118"/>
      <c r="N43" s="111"/>
      <c r="O43" s="23" t="str">
        <f t="shared" si="1"/>
        <v xml:space="preserve">Техническое освидетельствование лифта. </v>
      </c>
      <c r="R43" s="22" t="s">
        <v>72</v>
      </c>
    </row>
    <row r="44" spans="1:18" ht="51" customHeight="1" outlineLevel="1">
      <c r="A44" s="160" t="str">
        <f>ПТО!A3</f>
        <v>Техническое обслуживание охранной сигнализации.</v>
      </c>
      <c r="B44" s="160"/>
      <c r="C44" s="160"/>
      <c r="D44" s="160"/>
      <c r="E44" s="160"/>
      <c r="F44" s="165">
        <f>VLOOKUP(A44,ПТО!$A$2:$D$31,4,FALSE)</f>
        <v>10500</v>
      </c>
      <c r="G44" s="165"/>
      <c r="H44" s="25" t="str">
        <f>VLOOKUP(A44,ПТО!$A$2:$D$31,2,FALSE)</f>
        <v>ежемесячно</v>
      </c>
      <c r="I44" s="161">
        <f>VLOOKUP(A44,ПТО!$A$2:$D$31,3,FALSE)</f>
        <v>12</v>
      </c>
      <c r="J44" s="161"/>
      <c r="K44" s="111"/>
      <c r="L44" s="177"/>
      <c r="M44" s="118"/>
      <c r="N44" s="111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0" t="str">
        <f>ПТО!A4</f>
        <v>Приобретение новогодней елки и гирлянды.</v>
      </c>
      <c r="B45" s="160"/>
      <c r="C45" s="160"/>
      <c r="D45" s="160"/>
      <c r="E45" s="160"/>
      <c r="F45" s="165">
        <f>VLOOKUP(A45,ПТО!$A$2:$D$31,4,FALSE)</f>
        <v>1200</v>
      </c>
      <c r="G45" s="165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11"/>
      <c r="L45" s="177"/>
      <c r="M45" s="118"/>
      <c r="N45" s="111"/>
      <c r="O45" s="23" t="str">
        <f t="shared" si="1"/>
        <v>Приобретение новогодней елки и гирлянды.</v>
      </c>
      <c r="R45" s="22" t="s">
        <v>72</v>
      </c>
    </row>
    <row r="46" spans="1:18" ht="51" customHeight="1" outlineLevel="1">
      <c r="A46" s="160" t="str">
        <f>ПТО!A5</f>
        <v>Уборка снега с придомовой территории.</v>
      </c>
      <c r="B46" s="160"/>
      <c r="C46" s="160"/>
      <c r="D46" s="160"/>
      <c r="E46" s="160"/>
      <c r="F46" s="165">
        <f>VLOOKUP(A46,ПТО!$A$2:$D$31,4,FALSE)</f>
        <v>5300</v>
      </c>
      <c r="G46" s="165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11"/>
      <c r="L46" s="177"/>
      <c r="M46" s="118"/>
      <c r="N46" s="111"/>
      <c r="O46" s="23" t="str">
        <f t="shared" si="1"/>
        <v>Уборка снега с придомовой территории.</v>
      </c>
      <c r="R46" s="22" t="s">
        <v>72</v>
      </c>
    </row>
    <row r="47" spans="1:18" ht="51" customHeight="1" outlineLevel="1">
      <c r="A47" s="160" t="str">
        <f>ПТО!A6</f>
        <v>Приобретение и установка таблички по пожарной безопасности.</v>
      </c>
      <c r="B47" s="160"/>
      <c r="C47" s="160"/>
      <c r="D47" s="160"/>
      <c r="E47" s="160"/>
      <c r="F47" s="165">
        <f>VLOOKUP(A47,ПТО!$A$2:$D$31,4,FALSE)</f>
        <v>250</v>
      </c>
      <c r="G47" s="165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11"/>
      <c r="L47" s="177"/>
      <c r="M47" s="118"/>
      <c r="N47" s="111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60" t="str">
        <f>ПТО!A7</f>
        <v>Приобретение цветочных горшков в подъезде.</v>
      </c>
      <c r="B48" s="160"/>
      <c r="C48" s="160"/>
      <c r="D48" s="160"/>
      <c r="E48" s="160"/>
      <c r="F48" s="165">
        <f>VLOOKUP(A48,ПТО!$A$2:$D$31,4,FALSE)</f>
        <v>859.42</v>
      </c>
      <c r="G48" s="165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11"/>
      <c r="L48" s="177"/>
      <c r="M48" s="118"/>
      <c r="N48" s="111"/>
      <c r="O48" s="23" t="str">
        <f t="shared" si="1"/>
        <v>Приобретение цветочных горшков в подъезде.</v>
      </c>
      <c r="R48" s="22" t="s">
        <v>72</v>
      </c>
    </row>
    <row r="49" spans="1:18" ht="51" customHeight="1" outlineLevel="1">
      <c r="A49" s="160" t="str">
        <f>ПТО!A8</f>
        <v>Благоустройство придомовой территории (приобретение саженцев и рассады).</v>
      </c>
      <c r="B49" s="160"/>
      <c r="C49" s="160"/>
      <c r="D49" s="160"/>
      <c r="E49" s="160"/>
      <c r="F49" s="165">
        <f>VLOOKUP(A49,ПТО!$A$2:$D$31,4,FALSE)</f>
        <v>5800</v>
      </c>
      <c r="G49" s="165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11"/>
      <c r="L49" s="177"/>
      <c r="M49" s="118"/>
      <c r="N49" s="111"/>
      <c r="O49" s="23" t="str">
        <f t="shared" si="1"/>
        <v>Благоустройство придомовой территории (приобретение саженцев и рассады).</v>
      </c>
      <c r="R49" s="22" t="s">
        <v>72</v>
      </c>
    </row>
    <row r="50" spans="1:18" ht="51" customHeight="1" outlineLevel="1">
      <c r="A50" s="160" t="str">
        <f>ПТО!A9</f>
        <v>Благоустройство придомовой территории (приобретение чернозема).</v>
      </c>
      <c r="B50" s="160"/>
      <c r="C50" s="160"/>
      <c r="D50" s="160"/>
      <c r="E50" s="160"/>
      <c r="F50" s="165">
        <f>VLOOKUP(A50,ПТО!$A$2:$D$31,4,FALSE)</f>
        <v>4500</v>
      </c>
      <c r="G50" s="165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11"/>
      <c r="L50" s="177"/>
      <c r="M50" s="118"/>
      <c r="N50" s="111"/>
      <c r="O50" s="23" t="str">
        <f t="shared" si="1"/>
        <v>Благоустройство придомовой территории (приобретение чернозема).</v>
      </c>
      <c r="R50" s="22" t="s">
        <v>72</v>
      </c>
    </row>
    <row r="51" spans="1:18" ht="51" customHeight="1" outlineLevel="1">
      <c r="A51" s="160" t="str">
        <f>ПТО!A10</f>
        <v>Приобретение и укладка грязезащитного коврика в тамбур подъезда.</v>
      </c>
      <c r="B51" s="160"/>
      <c r="C51" s="160"/>
      <c r="D51" s="160"/>
      <c r="E51" s="160"/>
      <c r="F51" s="165">
        <f>VLOOKUP(A51,ПТО!$A$2:$D$31,4,FALSE)</f>
        <v>1280</v>
      </c>
      <c r="G51" s="165"/>
      <c r="H51" s="25" t="str">
        <f>VLOOKUP(A51,ПТО!$A$2:$D$31,2,FALSE)</f>
        <v>разово</v>
      </c>
      <c r="I51" s="161">
        <f>VLOOKUP(A51,ПТО!$A$2:$D$31,3,FALSE)</f>
        <v>1</v>
      </c>
      <c r="J51" s="161"/>
      <c r="K51" s="111"/>
      <c r="L51" s="177"/>
      <c r="M51" s="118"/>
      <c r="N51" s="111"/>
      <c r="O51" s="23" t="str">
        <f t="shared" si="1"/>
        <v>Приобретение и укладка грязезащитного коврика в тамбур подъезда.</v>
      </c>
      <c r="R51" s="22" t="s">
        <v>72</v>
      </c>
    </row>
    <row r="52" spans="1:18" ht="51" customHeight="1" outlineLevel="1">
      <c r="A52" s="160" t="str">
        <f>ПТО!A11</f>
        <v>Монтаж системы диспетчеризации лифта.</v>
      </c>
      <c r="B52" s="160"/>
      <c r="C52" s="160"/>
      <c r="D52" s="160"/>
      <c r="E52" s="160"/>
      <c r="F52" s="165">
        <f>VLOOKUP(A52,ПТО!$A$2:$D$31,4,FALSE)</f>
        <v>39259</v>
      </c>
      <c r="G52" s="165"/>
      <c r="H52" s="25" t="str">
        <f>VLOOKUP(A52,ПТО!$A$2:$D$31,2,FALSE)</f>
        <v>разово</v>
      </c>
      <c r="I52" s="161">
        <f>VLOOKUP(A52,ПТО!$A$2:$D$31,3,FALSE)</f>
        <v>1</v>
      </c>
      <c r="J52" s="161"/>
      <c r="K52" s="111"/>
      <c r="L52" s="177"/>
      <c r="M52" s="118"/>
      <c r="N52" s="111"/>
      <c r="O52" s="23" t="str">
        <f t="shared" si="1"/>
        <v>Монтаж системы диспетчеризации лифта.</v>
      </c>
      <c r="R52" s="22" t="s">
        <v>72</v>
      </c>
    </row>
    <row r="53" spans="1:18" ht="51" customHeight="1" outlineLevel="1">
      <c r="A53" s="160" t="str">
        <f>ПТО!A12</f>
        <v>Ремонт прибора учета тепловой энергии.</v>
      </c>
      <c r="B53" s="160"/>
      <c r="C53" s="160"/>
      <c r="D53" s="160"/>
      <c r="E53" s="160"/>
      <c r="F53" s="165">
        <f>VLOOKUP(A53,ПТО!$A$2:$D$31,4,FALSE)</f>
        <v>3186</v>
      </c>
      <c r="G53" s="165"/>
      <c r="H53" s="25" t="str">
        <f>VLOOKUP(A53,ПТО!$A$2:$D$31,2,FALSE)</f>
        <v>разово</v>
      </c>
      <c r="I53" s="161">
        <f>VLOOKUP(A53,ПТО!$A$2:$D$31,3,FALSE)</f>
        <v>1</v>
      </c>
      <c r="J53" s="161"/>
      <c r="K53" s="111"/>
      <c r="L53" s="177"/>
      <c r="M53" s="118"/>
      <c r="N53" s="111"/>
      <c r="O53" s="23" t="str">
        <f t="shared" si="1"/>
        <v>Ремонт прибора учета тепловой энергии.</v>
      </c>
      <c r="R53" s="22" t="s">
        <v>72</v>
      </c>
    </row>
    <row r="54" spans="1:18" ht="51" customHeight="1" outlineLevel="1">
      <c r="A54" s="160" t="str">
        <f>ПТО!A13</f>
        <v>Замена трансформаторов тока и ОДПУ электрической энергии.</v>
      </c>
      <c r="B54" s="160"/>
      <c r="C54" s="160"/>
      <c r="D54" s="160"/>
      <c r="E54" s="160"/>
      <c r="F54" s="165">
        <f>VLOOKUP(A54,ПТО!$A$2:$D$31,4,FALSE)</f>
        <v>10537.72</v>
      </c>
      <c r="G54" s="165"/>
      <c r="H54" s="25" t="str">
        <f>VLOOKUP(A54,ПТО!$A$2:$D$31,2,FALSE)</f>
        <v>разово</v>
      </c>
      <c r="I54" s="161">
        <f>VLOOKUP(A54,ПТО!$A$2:$D$31,3,FALSE)</f>
        <v>1</v>
      </c>
      <c r="J54" s="161"/>
      <c r="K54" s="111"/>
      <c r="L54" s="177"/>
      <c r="M54" s="118"/>
      <c r="N54" s="111"/>
      <c r="O54" s="23" t="str">
        <f t="shared" si="1"/>
        <v>Замена трансформаторов тока и ОДПУ электрической энергии.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11"/>
      <c r="L55" s="17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11"/>
      <c r="L56" s="17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11"/>
      <c r="L57" s="17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11"/>
      <c r="L58" s="17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11"/>
      <c r="L59" s="17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11"/>
      <c r="L60" s="17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11"/>
      <c r="L61" s="17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11"/>
      <c r="L62" s="17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11"/>
      <c r="L63" s="17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11"/>
      <c r="L64" s="17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11"/>
      <c r="L65" s="17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11"/>
      <c r="L66" s="17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11"/>
      <c r="L67" s="17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11"/>
      <c r="L68" s="17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11"/>
      <c r="L69" s="17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11"/>
      <c r="L70" s="17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8"/>
      <c r="L71" s="17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11"/>
      <c r="L72" s="17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11"/>
      <c r="L75" s="180"/>
      <c r="M75" s="111"/>
      <c r="N75" s="111"/>
      <c r="O75" s="72" t="s">
        <v>99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11"/>
      <c r="L76" s="180"/>
      <c r="M76" s="111"/>
      <c r="N76" s="111"/>
      <c r="O76" s="72" t="s">
        <v>100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11"/>
      <c r="L77" s="180"/>
      <c r="M77" s="111"/>
      <c r="N77" s="111"/>
      <c r="O77" s="72" t="s">
        <v>101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9">
        <f>VLOOKUP(O78,АО,3,FALSE)</f>
        <v>0</v>
      </c>
      <c r="K78" s="111"/>
      <c r="L78" s="180"/>
      <c r="M78" s="111"/>
      <c r="N78" s="111"/>
      <c r="O78" s="72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8" t="s">
        <v>2</v>
      </c>
      <c r="B81" s="158"/>
      <c r="C81" s="158"/>
      <c r="D81" s="158"/>
      <c r="E81" s="158"/>
      <c r="F81" s="158"/>
      <c r="G81" s="158"/>
      <c r="H81" s="158"/>
      <c r="I81" s="158"/>
      <c r="J81" s="99">
        <f t="shared" ref="J81:J90" si="2">VLOOKUP(O81,АО,3,FALSE)</f>
        <v>0</v>
      </c>
      <c r="K81" s="111"/>
      <c r="L81" s="166"/>
      <c r="M81" s="111"/>
      <c r="N81" s="111"/>
      <c r="O81" s="72" t="s">
        <v>103</v>
      </c>
    </row>
    <row r="82" spans="1:15" outlineLevel="1">
      <c r="A82" s="158" t="s">
        <v>3</v>
      </c>
      <c r="B82" s="158"/>
      <c r="C82" s="158"/>
      <c r="D82" s="158"/>
      <c r="E82" s="158"/>
      <c r="F82" s="158"/>
      <c r="G82" s="158"/>
      <c r="H82" s="158"/>
      <c r="I82" s="158"/>
      <c r="J82" s="99">
        <f t="shared" si="2"/>
        <v>0</v>
      </c>
      <c r="K82" s="111"/>
      <c r="L82" s="166"/>
      <c r="M82" s="111"/>
      <c r="N82" s="111"/>
      <c r="O82" s="72" t="s">
        <v>104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9">
        <f t="shared" si="2"/>
        <v>64891.82</v>
      </c>
      <c r="K83" s="111"/>
      <c r="L83" s="166"/>
      <c r="M83" s="111"/>
      <c r="N83" s="111"/>
      <c r="O83" s="72" t="s">
        <v>105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9">
        <f t="shared" si="2"/>
        <v>0</v>
      </c>
      <c r="K84" s="111"/>
      <c r="L84" s="166"/>
      <c r="M84" s="111"/>
      <c r="N84" s="111"/>
      <c r="O84" s="72" t="s">
        <v>106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9">
        <f t="shared" si="2"/>
        <v>0</v>
      </c>
      <c r="K85" s="111"/>
      <c r="L85" s="166"/>
      <c r="M85" s="111"/>
      <c r="N85" s="111"/>
      <c r="O85" s="72" t="s">
        <v>107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9">
        <f t="shared" si="2"/>
        <v>56660.76</v>
      </c>
      <c r="K86" s="111"/>
      <c r="L86" s="166"/>
      <c r="M86" s="111"/>
      <c r="N86" s="111"/>
      <c r="O86" s="72" t="s">
        <v>108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11"/>
      <c r="L87" s="166"/>
      <c r="M87" s="111"/>
      <c r="N87" s="111"/>
      <c r="O87" s="72" t="s">
        <v>109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11"/>
      <c r="L88" s="166"/>
      <c r="M88" s="111"/>
      <c r="N88" s="111"/>
      <c r="O88" s="72" t="s">
        <v>110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11"/>
      <c r="L89" s="166"/>
      <c r="M89" s="111"/>
      <c r="N89" s="111"/>
      <c r="O89" s="72" t="s">
        <v>111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9">
        <f t="shared" si="2"/>
        <v>0</v>
      </c>
      <c r="K90" s="111"/>
      <c r="L90" s="166"/>
      <c r="M90" s="111"/>
      <c r="N90" s="111"/>
      <c r="O90" s="72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81" t="s">
        <v>48</v>
      </c>
      <c r="B93" s="181"/>
      <c r="C93" s="181"/>
      <c r="D93" s="182" t="s">
        <v>49</v>
      </c>
      <c r="E93" s="182"/>
      <c r="F93" s="10" t="s">
        <v>50</v>
      </c>
      <c r="G93" s="181" t="s">
        <v>51</v>
      </c>
      <c r="H93" s="181"/>
      <c r="I93" s="181"/>
      <c r="J93" s="181"/>
      <c r="K93" s="111"/>
      <c r="L93" s="111"/>
      <c r="M93" s="111"/>
      <c r="N93" s="111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4">
        <f>VLOOKUP("эл",АО,5,FALSE)</f>
        <v>140394.61999999997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123153.17543859647</v>
      </c>
      <c r="L95" s="167"/>
      <c r="O95" s="1" t="s">
        <v>113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132822.34999999998</v>
      </c>
      <c r="L96" s="167"/>
      <c r="O96" s="1" t="s">
        <v>114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7572.2699999999895</v>
      </c>
      <c r="L97" s="167"/>
      <c r="O97" s="1" t="s">
        <v>115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140394.61999999997</v>
      </c>
      <c r="L98" s="167"/>
      <c r="O98" s="1" t="s">
        <v>116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140394.61999999997</v>
      </c>
      <c r="L99" s="167"/>
      <c r="O99" s="1" t="s">
        <v>117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67"/>
      <c r="O100" s="1" t="s">
        <v>118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67"/>
      <c r="O101" s="1" t="s">
        <v>119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4">
        <f>VLOOKUP("хвс",АО,5,FALSE)</f>
        <v>80293.53</v>
      </c>
      <c r="H102" s="163"/>
      <c r="I102" s="163"/>
      <c r="J102" s="163"/>
      <c r="L102" s="167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5934.4811529933486</v>
      </c>
      <c r="L103" s="167"/>
      <c r="O103" s="1" t="s">
        <v>122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87244.98</v>
      </c>
      <c r="L104" s="167"/>
      <c r="O104" s="1" t="s">
        <v>123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0</v>
      </c>
      <c r="L105" s="167"/>
      <c r="O105" s="1" t="s">
        <v>124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80293.53</v>
      </c>
      <c r="L106" s="167"/>
      <c r="O106" s="1" t="s">
        <v>125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80293.53</v>
      </c>
      <c r="L107" s="167"/>
      <c r="O107" s="1" t="s">
        <v>126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67"/>
      <c r="O108" s="1" t="s">
        <v>127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67"/>
      <c r="O109" s="1" t="s">
        <v>128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4">
        <f>VLOOKUP("воо",АО,5,FALSE)</f>
        <v>93477.530000000013</v>
      </c>
      <c r="H110" s="163"/>
      <c r="I110" s="163"/>
      <c r="J110" s="163"/>
      <c r="L110" s="167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6058.167854828258</v>
      </c>
      <c r="L111" s="167"/>
      <c r="O111" s="1" t="s">
        <v>130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99635.27999999997</v>
      </c>
      <c r="L112" s="167"/>
      <c r="O112" s="1" t="s">
        <v>131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0</v>
      </c>
      <c r="L113" s="167"/>
      <c r="O113" s="1" t="s">
        <v>132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93477.530000000013</v>
      </c>
      <c r="L114" s="167"/>
      <c r="O114" s="1" t="s">
        <v>133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93477.530000000013</v>
      </c>
      <c r="L115" s="167"/>
      <c r="O115" s="1" t="s">
        <v>134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67"/>
      <c r="O116" s="1" t="s">
        <v>135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67"/>
      <c r="O117" s="1" t="s">
        <v>136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3" t="str">
        <f>IF(VLOOKUP("тко",АО,3,FALSE)&gt;0,VLOOKUP("тко",АО,3,FALSE),0)</f>
        <v>Предоставляется</v>
      </c>
      <c r="E118" s="163"/>
      <c r="F118" s="13" t="str">
        <f>IF(VLOOKUP("тко",АО,3,FALSE)&gt;0,VLOOKUP("тко",АО,4,FALSE),0)</f>
        <v>куб.м.</v>
      </c>
      <c r="G118" s="164">
        <f>VLOOKUP("тко",АО,5,FALSE)</f>
        <v>91321.239999999991</v>
      </c>
      <c r="H118" s="163"/>
      <c r="I118" s="163"/>
      <c r="J118" s="163"/>
      <c r="L118" s="49"/>
    </row>
    <row r="119" spans="1:15" ht="32.25" customHeight="1" outlineLevel="2">
      <c r="A119" s="158" t="str">
        <f t="shared" ref="A119:A125" si="8">IF(VLOOKUP("тко",АО,3,FALSE)&gt;0,VLOOKUP(O119,АО,2,FALSE),0)</f>
        <v>Общий объем потребления, нат. показ.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161.08595720661128</v>
      </c>
      <c r="L119" s="49"/>
      <c r="O119" s="1" t="s">
        <v>138</v>
      </c>
    </row>
    <row r="120" spans="1:15" ht="32.25" customHeight="1" outlineLevel="2">
      <c r="A120" s="158" t="str">
        <f t="shared" si="8"/>
        <v>Оплачено потребителями, руб.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94015.370000000024</v>
      </c>
      <c r="L120" s="49"/>
      <c r="O120" s="1" t="s">
        <v>139</v>
      </c>
    </row>
    <row r="121" spans="1:15" ht="32.25" customHeight="1" outlineLevel="2">
      <c r="A121" s="158" t="str">
        <f t="shared" si="8"/>
        <v>Задолженность потребителей, руб.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0</v>
      </c>
      <c r="L121" s="49"/>
      <c r="O121" s="1" t="s">
        <v>140</v>
      </c>
    </row>
    <row r="122" spans="1:15" ht="32.25" customHeight="1" outlineLevel="2">
      <c r="A122" s="158" t="str">
        <f t="shared" si="8"/>
        <v>Начислено поставщиком (поставщиками) коммунального ресурса, руб.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91321.239999999991</v>
      </c>
      <c r="L122" s="49"/>
      <c r="O122" s="1" t="s">
        <v>141</v>
      </c>
    </row>
    <row r="123" spans="1:15" ht="32.25" customHeight="1" outlineLevel="2">
      <c r="A123" s="158" t="str">
        <f t="shared" si="8"/>
        <v>Оплачено поставщику (поставщикам) коммунального ресурса, руб.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91321.239999999991</v>
      </c>
      <c r="L123" s="49"/>
      <c r="O123" s="1" t="s">
        <v>142</v>
      </c>
    </row>
    <row r="124" spans="1:15" ht="32.25" customHeight="1" outlineLevel="2">
      <c r="A124" s="158" t="str">
        <f t="shared" si="8"/>
        <v>Задолженность перед поставщиком (поставщиками) коммунального ресурса, руб.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9"/>
      <c r="O124" s="1" t="s">
        <v>143</v>
      </c>
    </row>
    <row r="125" spans="1:15" ht="32.25" customHeight="1" outlineLevel="2">
      <c r="A125" s="158" t="str">
        <f t="shared" si="8"/>
        <v>Размер пени и штрафов, уплаченных поставщику (поставщикам) коммунального ресурса, руб.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9"/>
      <c r="O125" s="1" t="s">
        <v>144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4">
        <f>VLOOKUP("гвс",АО,5,FALSE)</f>
        <v>0</v>
      </c>
      <c r="H126" s="163"/>
      <c r="I126" s="163"/>
      <c r="J126" s="163"/>
      <c r="L126" s="49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0</v>
      </c>
      <c r="L127" s="49"/>
      <c r="O127" s="1" t="s">
        <v>146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0</v>
      </c>
      <c r="L128" s="49"/>
      <c r="O128" s="1" t="s">
        <v>147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0</v>
      </c>
      <c r="L129" s="49"/>
      <c r="O129" s="1" t="s">
        <v>148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0</v>
      </c>
      <c r="L130" s="49"/>
      <c r="O130" s="1" t="s">
        <v>149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0</v>
      </c>
      <c r="L131" s="49"/>
      <c r="O131" s="1" t="s">
        <v>150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9"/>
      <c r="O132" s="1" t="s">
        <v>151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9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9"/>
      <c r="O141" s="1" t="s">
        <v>160</v>
      </c>
    </row>
    <row r="143" spans="1:15">
      <c r="A143" s="11" t="s">
        <v>44</v>
      </c>
    </row>
    <row r="144" spans="1:15" ht="18.75" customHeight="1" outlineLevel="1">
      <c r="A144" s="158" t="s">
        <v>45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170</v>
      </c>
    </row>
    <row r="145" spans="1:15" ht="18.75" customHeight="1" outlineLevel="1">
      <c r="A145" s="158" t="s">
        <v>46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58" t="s">
        <v>173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96598.77</v>
      </c>
      <c r="O146" t="s">
        <v>172</v>
      </c>
    </row>
    <row r="149" spans="1:15" ht="52.5" customHeight="1">
      <c r="A149" s="183" t="s">
        <v>178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5" t="s">
        <v>184</v>
      </c>
      <c r="B154" s="185"/>
      <c r="C154" s="185"/>
      <c r="D154" s="185"/>
      <c r="E154" s="27">
        <f>ПТО!G1</f>
        <v>-74134.97</v>
      </c>
    </row>
    <row r="155" spans="1:15" ht="34.5" customHeight="1">
      <c r="A155" s="184" t="s">
        <v>185</v>
      </c>
      <c r="B155" s="184"/>
      <c r="C155" s="184"/>
      <c r="D155" s="184"/>
      <c r="E155" s="28">
        <f>J13</f>
        <v>107122.10400000001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0" t="str">
        <f t="shared" ref="A158:A163" si="14">IF(N158&gt;0,N158,0)</f>
        <v xml:space="preserve">Техническое освидетельствование лифта. </v>
      </c>
      <c r="B158" s="160"/>
      <c r="C158" s="160"/>
      <c r="D158" s="160"/>
      <c r="E158" s="160"/>
      <c r="F158" s="165">
        <f t="shared" ref="F158:F163" si="15">IF(ISERROR(VLOOKUP(A158,$A$28:$J$72,6,FALSE)),0,VLOOKUP(A158,$A$28:$J$72,6,FALSE))</f>
        <v>8100</v>
      </c>
      <c r="G158" s="165"/>
      <c r="H158" s="24" t="str">
        <f t="shared" ref="H158:H187" si="16">VLOOKUP(A158,$A$28:$J$72,8,FALSE)</f>
        <v>ежегодно</v>
      </c>
      <c r="I158" s="161">
        <f t="shared" ref="I158:I161" si="17">VLOOKUP(A158,$A$28:$J$72,9,FALSE)</f>
        <v>1</v>
      </c>
      <c r="J158" s="161"/>
      <c r="M158" s="22" t="s">
        <v>72</v>
      </c>
      <c r="N158" s="1" t="str">
        <f t="array" ref="N158:N187">INDEX($O$43:$O$72,SMALL(IF($M$158=R43:R72,ROW(O43:O72)-42,""),ROW()-157))</f>
        <v xml:space="preserve">Техническое освидетельствование лифта. </v>
      </c>
    </row>
    <row r="159" spans="1:15" ht="28.5" customHeight="1">
      <c r="A159" s="160" t="str">
        <f t="shared" si="14"/>
        <v>Техническое обслуживание охранной сигнализации.</v>
      </c>
      <c r="B159" s="160"/>
      <c r="C159" s="160"/>
      <c r="D159" s="160"/>
      <c r="E159" s="160"/>
      <c r="F159" s="165">
        <f t="shared" si="15"/>
        <v>10500</v>
      </c>
      <c r="G159" s="165"/>
      <c r="H159" s="24" t="str">
        <f t="shared" si="16"/>
        <v>ежемесячно</v>
      </c>
      <c r="I159" s="161">
        <f t="shared" si="17"/>
        <v>12</v>
      </c>
      <c r="J159" s="161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0" t="str">
        <f t="shared" si="14"/>
        <v>Приобретение новогодней елки и гирлянды.</v>
      </c>
      <c r="B160" s="160"/>
      <c r="C160" s="160"/>
      <c r="D160" s="160"/>
      <c r="E160" s="160"/>
      <c r="F160" s="165">
        <f t="shared" si="15"/>
        <v>1200</v>
      </c>
      <c r="G160" s="165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Приобретение новогодней елки и гирлянды.</v>
      </c>
    </row>
    <row r="161" spans="1:14" ht="28.5" customHeight="1">
      <c r="A161" s="160" t="str">
        <f>IF(N161&gt;0,N161,0)</f>
        <v>Уборка снега с придомовой территории.</v>
      </c>
      <c r="B161" s="160"/>
      <c r="C161" s="160"/>
      <c r="D161" s="160"/>
      <c r="E161" s="160"/>
      <c r="F161" s="165">
        <f t="shared" si="15"/>
        <v>5300</v>
      </c>
      <c r="G161" s="165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Уборка снега с придомовой территории.</v>
      </c>
    </row>
    <row r="162" spans="1:14" ht="28.5" customHeight="1">
      <c r="A162" s="160" t="str">
        <f t="shared" si="14"/>
        <v>Приобретение и установка таблички по пожарной безопасности.</v>
      </c>
      <c r="B162" s="160"/>
      <c r="C162" s="160"/>
      <c r="D162" s="160"/>
      <c r="E162" s="160"/>
      <c r="F162" s="165">
        <f t="shared" si="15"/>
        <v>250</v>
      </c>
      <c r="G162" s="165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60" t="str">
        <f t="shared" si="14"/>
        <v>Приобретение цветочных горшков в подъезде.</v>
      </c>
      <c r="B163" s="160"/>
      <c r="C163" s="160"/>
      <c r="D163" s="160"/>
      <c r="E163" s="160"/>
      <c r="F163" s="165">
        <f t="shared" si="15"/>
        <v>859.42</v>
      </c>
      <c r="G163" s="165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Приобретение цветочных горшков в подъезде.</v>
      </c>
    </row>
    <row r="164" spans="1:14" ht="28.5" customHeight="1">
      <c r="A164" s="160" t="str">
        <f t="shared" ref="A164:A187" si="18">IF(N164&gt;0,N164,0)</f>
        <v>Благоустройство придомовой территории (приобретение саженцев и рассады).</v>
      </c>
      <c r="B164" s="160"/>
      <c r="C164" s="160"/>
      <c r="D164" s="160"/>
      <c r="E164" s="160"/>
      <c r="F164" s="165">
        <f t="shared" ref="F164:F187" si="19">IF(ISERROR(VLOOKUP(A164,$A$28:$J$72,6,FALSE)),0,VLOOKUP(A164,$A$28:$J$72,6,FALSE))</f>
        <v>5800</v>
      </c>
      <c r="G164" s="165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Благоустройство придомовой территории (приобретение саженцев и рассады).</v>
      </c>
    </row>
    <row r="165" spans="1:14" ht="28.5" customHeight="1">
      <c r="A165" s="160" t="str">
        <f t="shared" si="18"/>
        <v>Благоустройство придомовой территории (приобретение чернозема).</v>
      </c>
      <c r="B165" s="160"/>
      <c r="C165" s="160"/>
      <c r="D165" s="160"/>
      <c r="E165" s="160"/>
      <c r="F165" s="165">
        <f t="shared" si="19"/>
        <v>4500</v>
      </c>
      <c r="G165" s="165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Благоустройство придомовой территории (приобретение чернозема).</v>
      </c>
    </row>
    <row r="166" spans="1:14" ht="28.5" customHeight="1">
      <c r="A166" s="160" t="str">
        <f t="shared" si="18"/>
        <v>Приобретение и укладка грязезащитного коврика в тамбур подъезда.</v>
      </c>
      <c r="B166" s="160"/>
      <c r="C166" s="160"/>
      <c r="D166" s="160"/>
      <c r="E166" s="160"/>
      <c r="F166" s="165">
        <f t="shared" si="19"/>
        <v>1280</v>
      </c>
      <c r="G166" s="165"/>
      <c r="H166" s="29" t="str">
        <f t="shared" si="16"/>
        <v>разово</v>
      </c>
      <c r="I166" s="161">
        <f t="shared" si="20"/>
        <v>1</v>
      </c>
      <c r="J166" s="161"/>
      <c r="M166" s="22" t="s">
        <v>72</v>
      </c>
      <c r="N166" s="1" t="str">
        <v>Приобретение и укладка грязезащитного коврика в тамбур подъезда.</v>
      </c>
    </row>
    <row r="167" spans="1:14" ht="28.5" customHeight="1">
      <c r="A167" s="160" t="str">
        <f t="shared" si="18"/>
        <v>Монтаж системы диспетчеризации лифта.</v>
      </c>
      <c r="B167" s="160"/>
      <c r="C167" s="160"/>
      <c r="D167" s="160"/>
      <c r="E167" s="160"/>
      <c r="F167" s="165">
        <f t="shared" si="19"/>
        <v>39259</v>
      </c>
      <c r="G167" s="165"/>
      <c r="H167" s="29" t="str">
        <f t="shared" si="16"/>
        <v>разово</v>
      </c>
      <c r="I167" s="161">
        <f t="shared" si="20"/>
        <v>1</v>
      </c>
      <c r="J167" s="161"/>
      <c r="M167" s="22" t="s">
        <v>72</v>
      </c>
      <c r="N167" s="1" t="str">
        <v>Монтаж системы диспетчеризации лифта.</v>
      </c>
    </row>
    <row r="168" spans="1:14" ht="28.5" customHeight="1">
      <c r="A168" s="160" t="str">
        <f t="shared" si="18"/>
        <v>Ремонт прибора учета тепловой энергии.</v>
      </c>
      <c r="B168" s="160"/>
      <c r="C168" s="160"/>
      <c r="D168" s="160"/>
      <c r="E168" s="160"/>
      <c r="F168" s="165">
        <f t="shared" si="19"/>
        <v>3186</v>
      </c>
      <c r="G168" s="165"/>
      <c r="H168" s="29" t="str">
        <f t="shared" si="16"/>
        <v>разово</v>
      </c>
      <c r="I168" s="161">
        <f t="shared" si="20"/>
        <v>1</v>
      </c>
      <c r="J168" s="161"/>
      <c r="M168" s="22" t="s">
        <v>72</v>
      </c>
      <c r="N168" s="1" t="str">
        <v>Ремонт прибора учета тепловой энергии.</v>
      </c>
    </row>
    <row r="169" spans="1:14" ht="28.5" customHeight="1">
      <c r="A169" s="160" t="str">
        <f t="shared" si="18"/>
        <v>Замена трансформаторов тока и ОДПУ электрической энергии.</v>
      </c>
      <c r="B169" s="160"/>
      <c r="C169" s="160"/>
      <c r="D169" s="160"/>
      <c r="E169" s="160"/>
      <c r="F169" s="165">
        <f t="shared" si="19"/>
        <v>10537.72</v>
      </c>
      <c r="G169" s="165"/>
      <c r="H169" s="29" t="str">
        <f t="shared" si="16"/>
        <v>разово</v>
      </c>
      <c r="I169" s="161">
        <f t="shared" si="20"/>
        <v>1</v>
      </c>
      <c r="J169" s="161"/>
      <c r="M169" s="22" t="s">
        <v>72</v>
      </c>
      <c r="N169" s="1" t="str">
        <v>Замена трансформаторов тока и ОДПУ электрической энергии.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5">
        <f t="shared" si="19"/>
        <v>0</v>
      </c>
      <c r="G170" s="165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5">
        <f t="shared" si="19"/>
        <v>0</v>
      </c>
      <c r="G171" s="165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5">
        <f t="shared" si="19"/>
        <v>0</v>
      </c>
      <c r="G172" s="165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5">
        <f t="shared" si="19"/>
        <v>0</v>
      </c>
      <c r="G173" s="165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5">
        <f t="shared" si="19"/>
        <v>0</v>
      </c>
      <c r="G174" s="165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5">
        <f t="shared" si="19"/>
        <v>0</v>
      </c>
      <c r="G175" s="165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5">
        <f t="shared" si="19"/>
        <v>0</v>
      </c>
      <c r="G176" s="165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5">
        <f t="shared" si="19"/>
        <v>0</v>
      </c>
      <c r="G177" s="165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5">
        <f t="shared" si="19"/>
        <v>0</v>
      </c>
      <c r="G178" s="165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5">
        <f t="shared" si="19"/>
        <v>0</v>
      </c>
      <c r="G179" s="165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5">
        <f t="shared" si="19"/>
        <v>0</v>
      </c>
      <c r="G180" s="165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5">
        <f t="shared" si="19"/>
        <v>0</v>
      </c>
      <c r="G181" s="165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5">
        <f t="shared" si="19"/>
        <v>0</v>
      </c>
      <c r="G182" s="165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5">
        <f t="shared" si="19"/>
        <v>0</v>
      </c>
      <c r="G183" s="165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5">
        <f t="shared" si="19"/>
        <v>0</v>
      </c>
      <c r="G184" s="165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5">
        <f t="shared" si="19"/>
        <v>0</v>
      </c>
      <c r="G185" s="165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5">
        <f t="shared" si="19"/>
        <v>0</v>
      </c>
      <c r="G186" s="165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5">
        <f t="shared" si="19"/>
        <v>0</v>
      </c>
      <c r="G187" s="165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85" t="s">
        <v>186</v>
      </c>
      <c r="B190" s="185"/>
      <c r="C190" s="185"/>
      <c r="D190" s="185"/>
      <c r="E190" s="27">
        <f>SUM(F158:G187)</f>
        <v>90772.14</v>
      </c>
    </row>
    <row r="191" spans="1:14" ht="51.75" customHeight="1">
      <c r="A191" s="185" t="s">
        <v>188</v>
      </c>
      <c r="B191" s="185"/>
      <c r="C191" s="185"/>
      <c r="D191" s="185"/>
      <c r="E191" s="27">
        <f>E190+E154-E155</f>
        <v>-90484.934000000008</v>
      </c>
    </row>
    <row r="192" spans="1:14">
      <c r="A192" s="106" t="s">
        <v>174</v>
      </c>
    </row>
    <row r="193" spans="1:10" ht="62.25" customHeight="1">
      <c r="A193" s="159" t="s">
        <v>187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7" t="str">
        <f>ПТО!F12</f>
        <v xml:space="preserve">  -  поверка (замена) манометров и термометров</v>
      </c>
      <c r="B194" s="157"/>
      <c r="C194" s="157"/>
      <c r="D194" s="157"/>
      <c r="E194" s="157"/>
      <c r="F194" s="157"/>
      <c r="G194" s="157"/>
      <c r="H194" s="51">
        <f>ПТО!G12</f>
        <v>1200</v>
      </c>
      <c r="I194" s="52" t="s">
        <v>74</v>
      </c>
    </row>
    <row r="195" spans="1:10" ht="18.75" customHeight="1">
      <c r="A195" s="157" t="str">
        <f>ПТО!F13</f>
        <v xml:space="preserve">  -  техническое освидетельствование лифта</v>
      </c>
      <c r="B195" s="157"/>
      <c r="C195" s="157"/>
      <c r="D195" s="157"/>
      <c r="E195" s="157"/>
      <c r="F195" s="157"/>
      <c r="G195" s="157"/>
      <c r="H195" s="51">
        <f>ПТО!G13</f>
        <v>8100</v>
      </c>
      <c r="I195" s="52" t="s">
        <v>74</v>
      </c>
    </row>
    <row r="196" spans="1:10" ht="18.75" customHeight="1">
      <c r="A196" s="157" t="str">
        <f>ПТО!F14</f>
        <v xml:space="preserve">  -  техническое обслуживание охранной сигнализации</v>
      </c>
      <c r="B196" s="157"/>
      <c r="C196" s="157"/>
      <c r="D196" s="157"/>
      <c r="E196" s="157"/>
      <c r="F196" s="157"/>
      <c r="G196" s="157"/>
      <c r="H196" s="51">
        <f>ПТО!G14</f>
        <v>10500</v>
      </c>
      <c r="I196" s="52" t="s">
        <v>74</v>
      </c>
    </row>
    <row r="197" spans="1:10" ht="18.75" customHeight="1">
      <c r="A197" s="157" t="str">
        <f>ПТО!F15</f>
        <v xml:space="preserve">  -  ремонт подъезда</v>
      </c>
      <c r="B197" s="157"/>
      <c r="C197" s="157"/>
      <c r="D197" s="157"/>
      <c r="E197" s="157"/>
      <c r="F197" s="157"/>
      <c r="G197" s="157"/>
      <c r="H197" s="51">
        <f>ПТО!G15</f>
        <v>200000</v>
      </c>
      <c r="I197" s="52" t="s">
        <v>74</v>
      </c>
    </row>
    <row r="198" spans="1:10" ht="18.75" customHeight="1">
      <c r="A198" s="157" t="str">
        <f>ПТО!F16</f>
        <v xml:space="preserve">  -  ремонт видеонаблюдения</v>
      </c>
      <c r="B198" s="157"/>
      <c r="C198" s="157"/>
      <c r="D198" s="157"/>
      <c r="E198" s="157"/>
      <c r="F198" s="157"/>
      <c r="G198" s="157"/>
      <c r="H198" s="51">
        <f>ПТО!G16</f>
        <v>12000</v>
      </c>
      <c r="I198" s="54" t="s">
        <v>74</v>
      </c>
    </row>
    <row r="199" spans="1:10" ht="18.75" customHeight="1">
      <c r="A199" s="157" t="str">
        <f>ПТО!F17</f>
        <v xml:space="preserve">  -  монтаж греющего кабеля на фановые трубы</v>
      </c>
      <c r="B199" s="157"/>
      <c r="C199" s="157"/>
      <c r="D199" s="157"/>
      <c r="E199" s="157"/>
      <c r="F199" s="157"/>
      <c r="G199" s="157"/>
      <c r="H199" s="51">
        <f>ПТО!G17</f>
        <v>21000</v>
      </c>
      <c r="I199" s="52" t="s">
        <v>74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51">
        <f>ПТО!G18</f>
        <v>0</v>
      </c>
      <c r="I200" s="52" t="s">
        <v>74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51">
        <f>ПТО!G19</f>
        <v>0</v>
      </c>
      <c r="I201" s="52" t="s">
        <v>74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51">
        <f>ПТО!G20</f>
        <v>0</v>
      </c>
      <c r="I202" s="52" t="s">
        <v>74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51">
        <f>ПТО!G21</f>
        <v>0</v>
      </c>
      <c r="I203" s="52" t="s">
        <v>74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51">
        <f>ПТО!G22</f>
        <v>0</v>
      </c>
      <c r="I204" s="52" t="s">
        <v>74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51">
        <f>ПТО!G23</f>
        <v>0</v>
      </c>
      <c r="I205" s="52" t="s">
        <v>74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51">
        <f>ПТО!G24</f>
        <v>0</v>
      </c>
      <c r="I206" s="52" t="s">
        <v>74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51">
        <f>ПТО!G25</f>
        <v>0</v>
      </c>
      <c r="I207" s="52" t="s">
        <v>74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51">
        <f>ПТО!G26</f>
        <v>0</v>
      </c>
      <c r="I208" s="52" t="s">
        <v>74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51">
        <f>ПТО!G27</f>
        <v>0</v>
      </c>
      <c r="I209" s="52" t="s">
        <v>74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51">
        <f>ПТО!G28</f>
        <v>0</v>
      </c>
      <c r="I210" s="52" t="s">
        <v>74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51">
        <f>ПТО!G29</f>
        <v>0</v>
      </c>
      <c r="I211" s="52" t="s">
        <v>74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51">
        <f>ПТО!G30</f>
        <v>0</v>
      </c>
      <c r="I212" s="52" t="s">
        <v>74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51">
        <f>ПТО!G31</f>
        <v>0</v>
      </c>
      <c r="I213" s="52" t="s">
        <v>74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252800</v>
      </c>
      <c r="I214" s="58" t="s">
        <v>77</v>
      </c>
    </row>
  </sheetData>
  <sheetProtection algorithmName="SHA-512" hashValue="23/7qoJ2yZRHV9YfIz2+yagiLqA3N/wFMwwZdNdHXBiELXvETmRjOiOtAcpmvXin4C3GX5+3jEsk53UjdteChw==" saltValue="psUfmZcUVI7j3Nqlf0BFJ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5" sqref="E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184</v>
      </c>
      <c r="G1" s="103">
        <f>-74134.97</f>
        <v>-74134.97</v>
      </c>
    </row>
    <row r="2" spans="1:12" ht="18.75" customHeight="1">
      <c r="A2" s="125" t="s">
        <v>179</v>
      </c>
      <c r="B2" s="122" t="s">
        <v>182</v>
      </c>
      <c r="C2" s="124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6" t="s">
        <v>180</v>
      </c>
      <c r="B3" s="122" t="s">
        <v>181</v>
      </c>
      <c r="C3" s="123">
        <v>12</v>
      </c>
      <c r="D3" s="121">
        <f>1750/2*12</f>
        <v>10500</v>
      </c>
      <c r="E3" s="31" t="s">
        <v>210</v>
      </c>
      <c r="F3" s="30"/>
      <c r="G3" s="30"/>
      <c r="L3" s="33" t="str">
        <f t="shared" si="0"/>
        <v>ТР</v>
      </c>
    </row>
    <row r="4" spans="1:12" ht="18.75" customHeight="1">
      <c r="A4" s="138" t="s">
        <v>192</v>
      </c>
      <c r="B4" s="139" t="s">
        <v>190</v>
      </c>
      <c r="C4" s="140">
        <v>1</v>
      </c>
      <c r="D4" s="120">
        <v>1200</v>
      </c>
      <c r="E4" s="141" t="s">
        <v>203</v>
      </c>
      <c r="F4" s="30"/>
      <c r="G4" s="30"/>
      <c r="L4" s="33" t="str">
        <f t="shared" si="0"/>
        <v>ТР</v>
      </c>
    </row>
    <row r="5" spans="1:12" ht="18.75" customHeight="1">
      <c r="A5" s="133" t="s">
        <v>189</v>
      </c>
      <c r="B5" s="134" t="s">
        <v>190</v>
      </c>
      <c r="C5" s="135">
        <v>1</v>
      </c>
      <c r="D5" s="136">
        <v>5300</v>
      </c>
      <c r="E5" s="137" t="s">
        <v>204</v>
      </c>
      <c r="F5" s="46"/>
      <c r="G5" s="46"/>
      <c r="K5" s="48"/>
      <c r="L5" s="33" t="str">
        <f t="shared" si="0"/>
        <v>ТР</v>
      </c>
    </row>
    <row r="6" spans="1:12" ht="18.75" customHeight="1">
      <c r="A6" s="142" t="s">
        <v>191</v>
      </c>
      <c r="B6" s="143" t="s">
        <v>190</v>
      </c>
      <c r="C6" s="144">
        <v>1</v>
      </c>
      <c r="D6" s="145">
        <v>250</v>
      </c>
      <c r="E6" s="132" t="s">
        <v>205</v>
      </c>
      <c r="F6" s="46"/>
      <c r="G6" s="46"/>
      <c r="K6" s="48"/>
      <c r="L6" s="33" t="str">
        <f t="shared" si="0"/>
        <v>ТР</v>
      </c>
    </row>
    <row r="7" spans="1:12" ht="18.75" customHeight="1">
      <c r="A7" s="126" t="s">
        <v>193</v>
      </c>
      <c r="B7" s="127" t="s">
        <v>190</v>
      </c>
      <c r="C7" s="45">
        <v>1</v>
      </c>
      <c r="D7" s="48">
        <v>859.42</v>
      </c>
      <c r="E7" s="126" t="s">
        <v>194</v>
      </c>
      <c r="F7" s="47"/>
      <c r="G7" s="47"/>
      <c r="K7" s="48"/>
      <c r="L7" s="33" t="str">
        <f t="shared" si="0"/>
        <v>ТР</v>
      </c>
    </row>
    <row r="8" spans="1:12" ht="18.75" customHeight="1">
      <c r="A8" s="126" t="s">
        <v>195</v>
      </c>
      <c r="B8" s="127" t="s">
        <v>190</v>
      </c>
      <c r="C8" s="43">
        <v>1</v>
      </c>
      <c r="D8" s="44">
        <v>5800</v>
      </c>
      <c r="E8" s="126" t="s">
        <v>196</v>
      </c>
      <c r="F8" s="47"/>
      <c r="G8" s="47"/>
      <c r="K8" s="44"/>
      <c r="L8" s="33" t="str">
        <f t="shared" si="0"/>
        <v>ТР</v>
      </c>
    </row>
    <row r="9" spans="1:12">
      <c r="A9" s="126" t="s">
        <v>197</v>
      </c>
      <c r="B9" s="127" t="s">
        <v>190</v>
      </c>
      <c r="C9" s="43">
        <v>1</v>
      </c>
      <c r="D9" s="44">
        <v>4500</v>
      </c>
      <c r="E9" s="46" t="s">
        <v>198</v>
      </c>
      <c r="F9" s="46"/>
      <c r="G9" s="46"/>
      <c r="K9" s="44"/>
      <c r="L9" s="33" t="str">
        <f t="shared" si="0"/>
        <v>ТР</v>
      </c>
    </row>
    <row r="10" spans="1:12">
      <c r="A10" s="128" t="s">
        <v>201</v>
      </c>
      <c r="B10" s="129" t="s">
        <v>190</v>
      </c>
      <c r="C10" s="130">
        <v>1</v>
      </c>
      <c r="D10" s="131">
        <v>1280</v>
      </c>
      <c r="E10" s="132" t="s">
        <v>202</v>
      </c>
      <c r="L10" s="33" t="str">
        <f t="shared" si="0"/>
        <v>ТР</v>
      </c>
    </row>
    <row r="11" spans="1:12" ht="94.5">
      <c r="A11" s="148" t="s">
        <v>199</v>
      </c>
      <c r="B11" s="149" t="s">
        <v>190</v>
      </c>
      <c r="C11" s="144">
        <v>1</v>
      </c>
      <c r="D11" s="150">
        <v>39259</v>
      </c>
      <c r="E11" s="137" t="s">
        <v>206</v>
      </c>
      <c r="F11" s="113" t="s">
        <v>187</v>
      </c>
      <c r="G11" s="113"/>
      <c r="L11" s="33" t="str">
        <f t="shared" si="0"/>
        <v>ТР</v>
      </c>
    </row>
    <row r="12" spans="1:12" ht="31.5">
      <c r="A12" s="151" t="s">
        <v>200</v>
      </c>
      <c r="B12" s="152" t="s">
        <v>190</v>
      </c>
      <c r="C12" s="43">
        <v>1</v>
      </c>
      <c r="D12" s="48">
        <v>3186</v>
      </c>
      <c r="E12" s="137" t="s">
        <v>207</v>
      </c>
      <c r="F12" s="114" t="s">
        <v>73</v>
      </c>
      <c r="G12" s="115">
        <v>1200</v>
      </c>
      <c r="L12" s="33" t="str">
        <f t="shared" si="0"/>
        <v>ТР</v>
      </c>
    </row>
    <row r="13" spans="1:12" ht="31.5">
      <c r="A13" s="153" t="s">
        <v>208</v>
      </c>
      <c r="B13" s="154" t="s">
        <v>190</v>
      </c>
      <c r="C13" s="43">
        <v>1</v>
      </c>
      <c r="D13" s="131">
        <v>10537.72</v>
      </c>
      <c r="E13" s="137" t="s">
        <v>209</v>
      </c>
      <c r="F13" s="114" t="s">
        <v>75</v>
      </c>
      <c r="G13" s="115">
        <v>8100</v>
      </c>
      <c r="L13" s="33" t="str">
        <f t="shared" si="0"/>
        <v>ТР</v>
      </c>
    </row>
    <row r="14" spans="1:12" ht="31.5">
      <c r="A14" s="146"/>
      <c r="B14" s="147"/>
      <c r="C14" s="143"/>
      <c r="D14" s="48"/>
      <c r="E14" s="137"/>
      <c r="F14" s="114" t="s">
        <v>214</v>
      </c>
      <c r="G14" s="115">
        <f>1750/2*12</f>
        <v>10500</v>
      </c>
      <c r="L14" s="33">
        <f t="shared" si="0"/>
        <v>0</v>
      </c>
    </row>
    <row r="15" spans="1:12" ht="15.75">
      <c r="A15" s="146"/>
      <c r="B15" s="147"/>
      <c r="C15" s="143"/>
      <c r="D15" s="48"/>
      <c r="E15" s="137"/>
      <c r="F15" s="114" t="s">
        <v>212</v>
      </c>
      <c r="G15" s="115">
        <v>200000</v>
      </c>
      <c r="L15" s="33">
        <f t="shared" si="0"/>
        <v>0</v>
      </c>
    </row>
    <row r="16" spans="1:12" ht="15.75">
      <c r="A16" s="30"/>
      <c r="B16" s="137"/>
      <c r="C16" s="137"/>
      <c r="D16" s="137"/>
      <c r="E16" s="137"/>
      <c r="F16" s="114" t="s">
        <v>211</v>
      </c>
      <c r="G16" s="116">
        <v>12000</v>
      </c>
      <c r="L16" s="33">
        <f t="shared" si="0"/>
        <v>0</v>
      </c>
    </row>
    <row r="17" spans="1:12" ht="31.5">
      <c r="A17" s="30"/>
      <c r="F17" s="155" t="s">
        <v>213</v>
      </c>
      <c r="G17" s="116">
        <v>21000</v>
      </c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69154.8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69154.8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90172.44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90172.44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46781.16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46781.16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27119.52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27119.52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9039.84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9039.84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50397.120000000003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50397.120000000003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54013.08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54013.08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QdY/BajU2miA/OKFZZ2EE6IQazEHhp87YeJP2DlG6V0dt30OWqBv+pMOTDbNw06gKMQpYSOOANY/eJaIiVyhCg==" saltValue="mDp8Z2rV5CxNfitqGbPv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F26" sqref="F2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183</v>
      </c>
      <c r="F1" s="62">
        <v>1883.3</v>
      </c>
    </row>
    <row r="2" spans="1:10" ht="15.75" customHeight="1">
      <c r="A2" s="72" t="s">
        <v>82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4</v>
      </c>
      <c r="C4" s="85">
        <v>210233.09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5</v>
      </c>
      <c r="C5" s="81">
        <f>SUM(C6:C8)</f>
        <v>457028.174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6</v>
      </c>
      <c r="C6" s="85">
        <v>349906.07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7</v>
      </c>
      <c r="C7" s="85">
        <f>F1*4.74*12</f>
        <v>107122.10400000001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9</v>
      </c>
      <c r="C9" s="81">
        <f>SUM(C10:C14)</f>
        <v>471665.17999999993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10</v>
      </c>
      <c r="C10" s="85">
        <v>471665.17999999993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15</v>
      </c>
      <c r="C15" s="81">
        <f>C9</f>
        <v>471665.17999999993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18</v>
      </c>
      <c r="C18" s="81">
        <f>IF(C16&gt;0,0,IF(C4&gt;0,C4+C5-C9,C5-C2-C9))</f>
        <v>195596.08400000003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8"/>
      <c r="N20" s="64"/>
    </row>
    <row r="21" spans="1:15" ht="15.75" customHeight="1">
      <c r="A21" s="72" t="s">
        <v>100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8"/>
      <c r="N21" s="64"/>
    </row>
    <row r="22" spans="1:15" ht="15.75" customHeight="1">
      <c r="A22" s="72" t="s">
        <v>101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8"/>
      <c r="N22" s="64"/>
    </row>
    <row r="23" spans="1:15" ht="15.75" customHeight="1">
      <c r="A23" s="72" t="s">
        <v>102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8"/>
      <c r="N23" s="64"/>
    </row>
    <row r="24" spans="1:15" ht="18.75">
      <c r="A24" s="75" t="s">
        <v>162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87"/>
      <c r="N25" s="65"/>
    </row>
    <row r="26" spans="1:15" ht="18.75" customHeight="1">
      <c r="A26" s="72" t="s">
        <v>104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87"/>
      <c r="N26" s="65"/>
    </row>
    <row r="27" spans="1:15" ht="18.75" customHeight="1">
      <c r="A27" s="72" t="s">
        <v>105</v>
      </c>
      <c r="B27" s="77" t="s">
        <v>4</v>
      </c>
      <c r="C27" s="88">
        <v>64891.82</v>
      </c>
      <c r="D27" s="83" t="s">
        <v>60</v>
      </c>
      <c r="E27" s="66"/>
      <c r="F27" s="66"/>
      <c r="G27" s="66"/>
      <c r="H27" s="66"/>
      <c r="I27" s="66"/>
      <c r="J27" s="66"/>
      <c r="M27" s="187"/>
      <c r="N27" s="65"/>
    </row>
    <row r="28" spans="1:15" ht="18.75" customHeight="1">
      <c r="A28" s="72" t="s">
        <v>106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87"/>
      <c r="N28" s="65"/>
    </row>
    <row r="29" spans="1:15" ht="18.75" customHeight="1">
      <c r="A29" s="72" t="s">
        <v>107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87"/>
      <c r="N29" s="65"/>
    </row>
    <row r="30" spans="1:15" ht="18.75" customHeight="1">
      <c r="A30" s="72" t="s">
        <v>108</v>
      </c>
      <c r="B30" s="77" t="s">
        <v>18</v>
      </c>
      <c r="C30" s="88">
        <v>56660.76</v>
      </c>
      <c r="D30" s="83" t="s">
        <v>66</v>
      </c>
      <c r="E30" s="66"/>
      <c r="F30" s="66"/>
      <c r="G30" s="66"/>
      <c r="H30" s="66"/>
      <c r="I30" s="66"/>
      <c r="J30" s="66"/>
      <c r="M30" s="187"/>
      <c r="N30" s="65"/>
    </row>
    <row r="31" spans="1:15" ht="18.75" customHeight="1">
      <c r="A31" s="72" t="s">
        <v>109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87"/>
      <c r="N31" s="65"/>
    </row>
    <row r="32" spans="1:15" ht="18.75" customHeight="1">
      <c r="A32" s="72" t="s">
        <v>110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87"/>
      <c r="N32" s="65"/>
    </row>
    <row r="33" spans="1:15" ht="18.75" customHeight="1">
      <c r="A33" s="72" t="s">
        <v>111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87"/>
      <c r="N33" s="65"/>
    </row>
    <row r="34" spans="1:15" ht="18.75" customHeight="1">
      <c r="A34" s="72" t="s">
        <v>112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87"/>
      <c r="N34" s="65"/>
    </row>
    <row r="35" spans="1:15" ht="18.75">
      <c r="A35" s="75" t="s">
        <v>163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164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140394.61999999997</v>
      </c>
      <c r="F37" s="96" t="s">
        <v>167</v>
      </c>
      <c r="G37" s="68"/>
      <c r="H37" s="68"/>
      <c r="I37" s="68"/>
      <c r="L37" s="65"/>
      <c r="M37" s="186"/>
      <c r="N37" s="65"/>
      <c r="O37" s="65"/>
    </row>
    <row r="38" spans="1:15" ht="18.75" customHeight="1">
      <c r="A38" s="72" t="s">
        <v>113</v>
      </c>
      <c r="B38" s="80" t="s">
        <v>37</v>
      </c>
      <c r="C38" s="92">
        <v>123153.17543859647</v>
      </c>
      <c r="D38" s="96" t="s">
        <v>165</v>
      </c>
      <c r="E38" s="70"/>
      <c r="G38" s="69"/>
      <c r="H38" s="69"/>
      <c r="L38" s="65"/>
      <c r="M38" s="186"/>
      <c r="N38" s="65"/>
      <c r="O38" s="65"/>
    </row>
    <row r="39" spans="1:15" ht="18.75" customHeight="1">
      <c r="A39" s="72" t="s">
        <v>114</v>
      </c>
      <c r="B39" s="80" t="s">
        <v>38</v>
      </c>
      <c r="C39" s="93">
        <v>132822.34999999998</v>
      </c>
      <c r="D39" s="96" t="s">
        <v>166</v>
      </c>
      <c r="E39" s="70"/>
      <c r="G39" s="69"/>
      <c r="H39" s="69"/>
      <c r="L39" s="65"/>
      <c r="M39" s="186"/>
      <c r="N39" s="65"/>
      <c r="O39" s="65"/>
    </row>
    <row r="40" spans="1:15" ht="18.75" customHeight="1">
      <c r="A40" s="72" t="s">
        <v>115</v>
      </c>
      <c r="B40" s="80" t="s">
        <v>39</v>
      </c>
      <c r="C40" s="95">
        <f>IF(E37-C39&lt;0,0,E37-C39)</f>
        <v>7572.2699999999895</v>
      </c>
      <c r="D40" s="82" t="s">
        <v>59</v>
      </c>
      <c r="E40" s="70"/>
      <c r="G40" s="69"/>
      <c r="H40" s="69"/>
      <c r="L40" s="65"/>
      <c r="M40" s="186"/>
      <c r="N40" s="65"/>
      <c r="O40" s="65"/>
    </row>
    <row r="41" spans="1:15" ht="18.75" customHeight="1">
      <c r="A41" s="72" t="s">
        <v>116</v>
      </c>
      <c r="B41" s="80" t="s">
        <v>40</v>
      </c>
      <c r="C41" s="95">
        <f>E37</f>
        <v>140394.61999999997</v>
      </c>
      <c r="D41" s="82" t="s">
        <v>59</v>
      </c>
      <c r="E41" s="70"/>
      <c r="G41" s="69"/>
      <c r="H41" s="69"/>
      <c r="L41" s="65"/>
      <c r="M41" s="186"/>
      <c r="N41" s="65"/>
      <c r="O41" s="65"/>
    </row>
    <row r="42" spans="1:15" ht="18.75" customHeight="1">
      <c r="A42" s="72" t="s">
        <v>117</v>
      </c>
      <c r="B42" s="80" t="s">
        <v>41</v>
      </c>
      <c r="C42" s="95">
        <f>E37</f>
        <v>140394.61999999997</v>
      </c>
      <c r="D42" s="82" t="s">
        <v>59</v>
      </c>
      <c r="E42" s="70"/>
      <c r="G42" s="69"/>
      <c r="H42" s="69"/>
      <c r="L42" s="65"/>
      <c r="M42" s="186"/>
      <c r="N42" s="65"/>
      <c r="O42" s="65"/>
    </row>
    <row r="43" spans="1:15" ht="18.75" customHeight="1">
      <c r="A43" s="72" t="s">
        <v>118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86"/>
      <c r="N43" s="65"/>
      <c r="O43" s="65"/>
    </row>
    <row r="44" spans="1:15" ht="30" customHeight="1">
      <c r="A44" s="72" t="s">
        <v>119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86"/>
      <c r="N44" s="65"/>
      <c r="O44" s="65"/>
    </row>
    <row r="45" spans="1:15" ht="18.75">
      <c r="A45" s="75" t="s">
        <v>121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80293.53</v>
      </c>
      <c r="F45" s="96" t="s">
        <v>167</v>
      </c>
      <c r="G45" s="68"/>
      <c r="H45" s="68"/>
      <c r="L45" s="65"/>
      <c r="M45" s="186"/>
      <c r="N45" s="65"/>
      <c r="O45" s="65"/>
    </row>
    <row r="46" spans="1:15" ht="18.75" customHeight="1">
      <c r="A46" s="75" t="s">
        <v>122</v>
      </c>
      <c r="B46" s="80" t="s">
        <v>37</v>
      </c>
      <c r="C46" s="92">
        <v>5934.4811529933486</v>
      </c>
      <c r="D46" s="96" t="s">
        <v>168</v>
      </c>
      <c r="E46" s="70"/>
      <c r="G46" s="69"/>
      <c r="H46" s="69"/>
      <c r="L46" s="65"/>
      <c r="M46" s="186"/>
      <c r="N46" s="65"/>
      <c r="O46" s="65"/>
    </row>
    <row r="47" spans="1:15" ht="18.75" customHeight="1">
      <c r="A47" s="75" t="s">
        <v>123</v>
      </c>
      <c r="B47" s="80" t="s">
        <v>38</v>
      </c>
      <c r="C47" s="93">
        <v>87244.98</v>
      </c>
      <c r="D47" s="96" t="s">
        <v>166</v>
      </c>
      <c r="E47" s="70"/>
      <c r="G47" s="69"/>
      <c r="H47" s="69"/>
      <c r="L47" s="65"/>
      <c r="M47" s="186"/>
      <c r="N47" s="65"/>
      <c r="O47" s="65"/>
    </row>
    <row r="48" spans="1:15" ht="18.75" customHeight="1">
      <c r="A48" s="75" t="s">
        <v>124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86"/>
      <c r="N48" s="65"/>
      <c r="O48" s="65"/>
    </row>
    <row r="49" spans="1:15" ht="18.75" customHeight="1">
      <c r="A49" s="75" t="s">
        <v>125</v>
      </c>
      <c r="B49" s="80" t="s">
        <v>40</v>
      </c>
      <c r="C49" s="95">
        <f>E45</f>
        <v>80293.53</v>
      </c>
      <c r="D49" s="82" t="s">
        <v>59</v>
      </c>
      <c r="E49" s="70"/>
      <c r="G49" s="69"/>
      <c r="H49" s="69"/>
      <c r="L49" s="65"/>
      <c r="M49" s="186"/>
      <c r="N49" s="65"/>
      <c r="O49" s="65"/>
    </row>
    <row r="50" spans="1:15" ht="18.75" customHeight="1">
      <c r="A50" s="75" t="s">
        <v>126</v>
      </c>
      <c r="B50" s="80" t="s">
        <v>41</v>
      </c>
      <c r="C50" s="95">
        <f>E45</f>
        <v>80293.53</v>
      </c>
      <c r="D50" s="82" t="s">
        <v>59</v>
      </c>
      <c r="E50" s="70"/>
      <c r="G50" s="69"/>
      <c r="H50" s="69"/>
      <c r="L50" s="65"/>
      <c r="M50" s="186"/>
      <c r="N50" s="65"/>
      <c r="O50" s="65"/>
    </row>
    <row r="51" spans="1:15" ht="18.75" customHeight="1">
      <c r="A51" s="75" t="s">
        <v>127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86"/>
      <c r="N51" s="65"/>
      <c r="O51" s="65"/>
    </row>
    <row r="52" spans="1:15" ht="29.25" customHeight="1">
      <c r="A52" s="75" t="s">
        <v>128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86"/>
      <c r="N52" s="65"/>
      <c r="O52" s="65"/>
    </row>
    <row r="53" spans="1:15" ht="18.75">
      <c r="A53" s="75" t="s">
        <v>129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93477.530000000013</v>
      </c>
      <c r="F53" s="96" t="s">
        <v>167</v>
      </c>
      <c r="G53" s="68"/>
      <c r="H53" s="68"/>
      <c r="L53" s="65"/>
      <c r="M53" s="186"/>
      <c r="N53" s="65"/>
      <c r="O53" s="65"/>
    </row>
    <row r="54" spans="1:15" ht="18.75" customHeight="1">
      <c r="A54" s="75" t="s">
        <v>130</v>
      </c>
      <c r="B54" s="77" t="s">
        <v>37</v>
      </c>
      <c r="C54" s="100">
        <v>6058.167854828258</v>
      </c>
      <c r="D54" s="96" t="s">
        <v>168</v>
      </c>
      <c r="E54" s="71"/>
      <c r="F54" s="91"/>
      <c r="G54" s="66"/>
      <c r="H54" s="66"/>
      <c r="L54" s="65"/>
      <c r="M54" s="186"/>
      <c r="N54" s="65"/>
      <c r="O54" s="65"/>
    </row>
    <row r="55" spans="1:15" ht="18.75" customHeight="1">
      <c r="A55" s="75" t="s">
        <v>131</v>
      </c>
      <c r="B55" s="77" t="s">
        <v>38</v>
      </c>
      <c r="C55" s="88">
        <v>99635.27999999997</v>
      </c>
      <c r="D55" s="96" t="s">
        <v>166</v>
      </c>
      <c r="E55" s="71"/>
      <c r="G55" s="66"/>
      <c r="H55" s="66"/>
      <c r="L55" s="65"/>
      <c r="M55" s="186"/>
      <c r="N55" s="65"/>
      <c r="O55" s="65"/>
    </row>
    <row r="56" spans="1:15" ht="18.75" customHeight="1">
      <c r="A56" s="75" t="s">
        <v>132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86"/>
      <c r="N56" s="65"/>
      <c r="O56" s="65"/>
    </row>
    <row r="57" spans="1:15" ht="18.75" customHeight="1">
      <c r="A57" s="75" t="s">
        <v>133</v>
      </c>
      <c r="B57" s="77" t="s">
        <v>40</v>
      </c>
      <c r="C57" s="95">
        <f>E53</f>
        <v>93477.530000000013</v>
      </c>
      <c r="D57" s="82" t="s">
        <v>59</v>
      </c>
      <c r="E57" s="71"/>
      <c r="G57" s="66"/>
      <c r="H57" s="66"/>
      <c r="L57" s="65"/>
      <c r="M57" s="186"/>
      <c r="N57" s="65"/>
      <c r="O57" s="65"/>
    </row>
    <row r="58" spans="1:15" ht="18.75" customHeight="1">
      <c r="A58" s="75" t="s">
        <v>134</v>
      </c>
      <c r="B58" s="77" t="s">
        <v>41</v>
      </c>
      <c r="C58" s="95">
        <f>E53</f>
        <v>93477.530000000013</v>
      </c>
      <c r="D58" s="82" t="s">
        <v>59</v>
      </c>
      <c r="E58" s="71"/>
      <c r="G58" s="66"/>
      <c r="H58" s="66"/>
      <c r="L58" s="65"/>
      <c r="M58" s="186"/>
      <c r="N58" s="65"/>
      <c r="O58" s="65"/>
    </row>
    <row r="59" spans="1:15" ht="18.75" customHeight="1">
      <c r="A59" s="75" t="s">
        <v>135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86"/>
      <c r="N59" s="65"/>
      <c r="O59" s="65"/>
    </row>
    <row r="60" spans="1:15" ht="33.75" customHeight="1">
      <c r="A60" s="75" t="s">
        <v>136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86"/>
      <c r="N60" s="65"/>
      <c r="O60" s="65"/>
    </row>
    <row r="61" spans="1:15" ht="15.75">
      <c r="A61" s="75" t="s">
        <v>137</v>
      </c>
      <c r="B61" s="79" t="s">
        <v>78</v>
      </c>
      <c r="C61" s="98" t="str">
        <f>IF(E61&gt;0,"Предоставляется",0)</f>
        <v>Предоставляется</v>
      </c>
      <c r="D61" s="98" t="s">
        <v>55</v>
      </c>
      <c r="E61" s="97">
        <v>91321.239999999991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37</v>
      </c>
      <c r="C62" s="100">
        <v>161.08595720661128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38</v>
      </c>
      <c r="C63" s="88">
        <v>94015.370000000024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141</v>
      </c>
      <c r="B65" s="77" t="s">
        <v>40</v>
      </c>
      <c r="C65" s="95">
        <f>E61</f>
        <v>91321.239999999991</v>
      </c>
      <c r="D65" s="82" t="s">
        <v>59</v>
      </c>
      <c r="E65" s="71"/>
      <c r="G65" s="66"/>
      <c r="H65" s="66"/>
    </row>
    <row r="66" spans="1:8" ht="15.75" customHeight="1">
      <c r="A66" s="75" t="s">
        <v>142</v>
      </c>
      <c r="B66" s="77" t="s">
        <v>41</v>
      </c>
      <c r="C66" s="95">
        <f>E61</f>
        <v>91321.239999999991</v>
      </c>
      <c r="D66" s="82" t="s">
        <v>59</v>
      </c>
      <c r="E66" s="71"/>
      <c r="G66" s="66"/>
      <c r="H66" s="66"/>
    </row>
    <row r="67" spans="1:8" ht="15.75" customHeight="1">
      <c r="A67" s="75" t="s">
        <v>143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144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37</v>
      </c>
      <c r="C70" s="100">
        <v>0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38</v>
      </c>
      <c r="C71" s="88">
        <v>0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149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150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151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152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37</v>
      </c>
      <c r="C78" s="100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38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157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158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159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160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3" sqref="E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45</v>
      </c>
      <c r="C2" s="107">
        <v>0</v>
      </c>
      <c r="D2" s="109" t="s">
        <v>67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46</v>
      </c>
      <c r="C3" s="107">
        <v>2</v>
      </c>
      <c r="D3" s="109" t="s">
        <v>67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1" t="s">
        <v>47</v>
      </c>
      <c r="C4" s="108">
        <v>96598.77</v>
      </c>
      <c r="D4" s="109" t="s">
        <v>67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2021-03-15T02:55:07Z</dcterms:modified>
</cp:coreProperties>
</file>