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Bd9ujPwh1X1jED25bWjZNe4BiEcTV4HBE+zCsAt+cwgGVceLwjCbRjsQoB48AkaipZ2Sqhcaj2BVJDS7pn9g4w==" workbookSaltValue="e8qxItvtOIPFr+Yg89tHrw==" workbookSpinCount="100000" lockStructure="1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D14" i="2"/>
  <c r="D3" i="2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8" i="1" l="1"/>
  <c r="A119" i="1"/>
  <c r="D118" i="1"/>
  <c r="A124" i="1"/>
  <c r="A110" i="1"/>
  <c r="A111" i="1"/>
  <c r="A115" i="1"/>
  <c r="F118" i="1"/>
  <c r="A121" i="1"/>
  <c r="A125" i="1"/>
  <c r="A120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<sst xmlns="http://schemas.openxmlformats.org/spreadsheetml/2006/main" count="569" uniqueCount="211">
  <si>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</si>
  <si>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</si>
  <si>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</si>
  <si>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</si>
  <si>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</si>
  <si>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</si>
  <si>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</si>
  <si>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</si>
  <si>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</si>
  <si>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</si>
  <si>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</si>
  <si>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</si>
  <si>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</si>
  <si>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</si>
  <si>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</si>
  <si>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</si>
  <si>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</si>
  <si>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</si>
  <si>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</si>
  <si>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</si>
  <si>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</si>
  <si>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</si>
  <si>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</si>
  <si>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</si>
  <si>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</si>
  <si>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</si>
  <si>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</si>
  <si>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</si>
  <si>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</si>
  <si>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</si>
  <si>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</si>
  <si>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</si>
  <si>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</si>
  <si>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</si>
  <si>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</si>
  <si>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</si>
  <si>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</si>
  <si>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</si>
  <si>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</si>
  <si>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</si>
  <si>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</si>
  <si>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</si>
  <si>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</si>
  <si>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</si>
  <si>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</si>
  <si>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</si>
  <si>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</si>
  <si>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</si>
  <si>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</si>
  <si>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</si>
  <si>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</si>
  <si>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</si>
  <si>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</si>
  <si>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</si>
  <si>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</si>
  <si>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</si>
  <si>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</si>
  <si>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</si>
  <si>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</si>
  <si>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</si>
  <si>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</si>
  <si>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</si>
  <si>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</si>
  <si>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</si>
  <si>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</si>
  <si>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</si>
  <si>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</si>
  <si>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</si>
  <si>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</si>
  <si>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</si>
  <si>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</si>
  <si>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</si>
  <si>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</si>
  <si>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</si>
  <si>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</si>
  <si>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</si>
  <si>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</si>
  <si>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</si>
  <si>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</si>
  <si>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</si>
  <si>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</si>
  <si>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</si>
  <si>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</si>
  <si>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</si>
  <si>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</si>
  <si>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</si>
  <si>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</si>
  <si>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</si>
  <si>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</si>
  <si>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</si>
  <si>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</si>
  <si>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</si>
  <si>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</si>
  <si>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</si>
  <si>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</si>
  <si>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</si>
  <si>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</si>
  <si>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</si>
  <si>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</si>
  <si>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</si>
  <si>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</si>
  <si>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</si>
  <si>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</si>
  <si>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</si>
  <si>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</si>
  <si>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</si>
  <si>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</si>
  <si>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</si>
  <si>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</si>
  <si>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</si>
  <si>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</si>
  <si>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</si>
  <si>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</si>
  <si>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</si>
  <si>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</si>
  <si>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</si>
  <si>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</si>
  <si>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</si>
  <si>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</si>
  <si>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</si>
  <si>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</si>
  <si>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</si>
  <si>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</si>
  <si>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</si>
  <si>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</si>
  <si>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</si>
  <si>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</si>
  <si>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</si>
  <si>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</si>
  <si>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</si>
  <si>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</si>
  <si>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</si>
  <si>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</si>
  <si>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</si>
  <si>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</si>
  <si>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</si>
  <si>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</si>
  <si>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</si>
  <si>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</si>
  <si>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</si>
  <si>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</si>
  <si>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</si>
  <si>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</si>
  <si>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</si>
  <si>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</si>
  <si>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</si>
  <si>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</si>
  <si>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</si>
  <si>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</si>
  <si>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</si>
  <si>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</si>
  <si>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</si>
  <si>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</si>
  <si>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</si>
  <si>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</si>
  <si>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</si>
  <si>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</si>
  <si>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</si>
  <si>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</si>
  <si>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</si>
  <si>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</si>
  <si>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</si>
  <si>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</si>
  <si>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</si>
  <si>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</si>
  <si>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</si>
  <si>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</si>
  <si>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</si>
  <si>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</si>
  <si>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</si>
  <si>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</si>
  <si>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</si>
  <si>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</si>
  <si>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</si>
  <si>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</si>
  <si>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</si>
  <si>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12/2</t>
  </si>
  <si>
    <t>Отчет об исполнении договора управления многоквартирного дома 
Юрия Тена, 12/2 в части текущего ремонта</t>
  </si>
  <si>
    <t>Техническое обслуживание охранной сигнализации.</t>
  </si>
  <si>
    <t>Вывоз снега с придомовой территории.</t>
  </si>
  <si>
    <t>ежегодно</t>
  </si>
  <si>
    <t>ежемесячно</t>
  </si>
  <si>
    <t>разово</t>
  </si>
  <si>
    <t>площадь дома</t>
  </si>
  <si>
    <t>Итого выполнено работ в 2018 года (руб.):</t>
  </si>
  <si>
    <t>Перерасход (+) или экономия 
(-) средств по состоянию на 31 декабря 2018 года (руб.):</t>
  </si>
  <si>
    <t>В 2019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</si>
  <si>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- техническое освидетельствование лифта</t>
  </si>
  <si>
    <t xml:space="preserve"> - тех. обслуживание охранной сигнализации</t>
  </si>
  <si>
    <t xml:space="preserve"> - поверка (замена) манометров и термометров</t>
  </si>
  <si>
    <t xml:space="preserve"> - работы по выбору (решению) общего собрания или совета дома</t>
  </si>
  <si>
    <t>Изготовление и монтаж козырька над подъездом.</t>
  </si>
  <si>
    <t>Приобретение и замена видеорегистратора.</t>
  </si>
  <si>
    <t>Установка розетки на 1 этаже.</t>
  </si>
  <si>
    <t>Замена манометров в ИТП.</t>
  </si>
  <si>
    <t>Замена термометров (спиртовые) в ИТП.</t>
  </si>
  <si>
    <t>Замена термометров (биометаллические) в ИТП.</t>
  </si>
  <si>
    <t>Замена трехходовых кранов в ИТП.</t>
  </si>
  <si>
    <t>Замена трансформаторов тока во ВРУ.</t>
  </si>
  <si>
    <t>Ремонт прибора учета тепловой энергии.</t>
  </si>
  <si>
    <t>Перерасход (+) или экономия 
(-) средств в 2017 году (руб.)</t>
  </si>
  <si>
    <t>АВР от 26.04.2018, Решение, Счет №40 от 03.04.2018</t>
  </si>
  <si>
    <t>АВР от 04.05.2018, Смета</t>
  </si>
  <si>
    <t>АВР от 23.05.2018</t>
  </si>
  <si>
    <t>АВР от 15.05.2018</t>
  </si>
  <si>
    <t>АВР от 12.08.2018</t>
  </si>
  <si>
    <t>АВР от 27.09.2018, Счет № С-721 от 27.09.2018</t>
  </si>
  <si>
    <t>АВР от 18.01.2018, АВР от 05.03.2018, Счет №7 от 06.03.2018</t>
  </si>
  <si>
    <t>Работы по обеспечению вывоза бытовых отходов</t>
  </si>
  <si>
    <t>Ежедневно</t>
  </si>
  <si>
    <t>Начислено за  текущий ремонт в 2018 году (руб.):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</si>
</sst>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4" fillId="0" borderId="0" xfId="5" applyFill="1" applyBorder="1" applyAlignment="1">
      <alignment horizontal="center"/>
    </xf>
    <xf numFmtId="0" fontId="4" fillId="0" borderId="0" xfId="5" applyBorder="1" applyAlignment="1">
      <alignment horizontal="center" vertical="center"/>
    </xf>
    <xf numFmtId="0" fontId="4" fillId="0" borderId="0" xfId="5" applyBorder="1" applyAlignment="1">
      <alignment horizontal="center"/>
    </xf>
    <xf numFmtId="0" fontId="3" fillId="0" borderId="0" xfId="14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 applyAlignment="1"/>
    <xf numFmtId="0" fontId="1" fillId="0" borderId="0" xfId="16" applyFill="1" applyBorder="1" applyAlignment="1">
      <alignment horizontal="left"/>
    </xf>
    <xf numFmtId="0" fontId="18" fillId="0" borderId="6" xfId="0" applyFont="1" applyFill="1" applyBorder="1" applyAlignment="1"/>
    <xf numFmtId="4" fontId="1" fillId="0" borderId="0" xfId="16" applyNumberFormat="1"/>
    <xf numFmtId="4" fontId="1" fillId="0" borderId="0" xfId="16" applyNumberFormat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0" borderId="6" xfId="0" applyNumberFormat="1" applyFont="1" applyFill="1" applyBorder="1" applyAlignment="1"/>
    <xf numFmtId="4" fontId="0" fillId="0" borderId="6" xfId="0" applyNumberFormat="1" applyBorder="1" applyAlignment="1"/>
    <xf numFmtId="4" fontId="0" fillId="0" borderId="6" xfId="0" applyNumberFormat="1" applyFill="1" applyBorder="1" applyAlignment="1"/>
    <xf numFmtId="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11"/>
    <cellStyle name="Обычный 2 4" xfId="6"/>
    <cellStyle name="Обычный 3" xfId="2"/>
    <cellStyle name="Обычный 3 2" xfId="12"/>
    <cellStyle name="Обычный 3 3" xfId="7"/>
    <cellStyle name="Обычный 4" xfId="4"/>
    <cellStyle name="Обычный 4 2" xfId="13"/>
    <cellStyle name="Обычный 4 3" xfId="8"/>
    <cellStyle name="Обычный 5" xfId="5"/>
    <cellStyle name="Обычный 5 2" xfId="14"/>
    <cellStyle name="Обычный 5 3" xfId="9"/>
    <cellStyle name="Обычный 6" xfId="10"/>
    <cellStyle name="Обычный 7" xfId="15"/>
    <cellStyle name="Обычный 8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63" zoomScaleNormal="100" zoomScaleSheetLayoutView="100" workbookViewId="0">
      <selection activeCell="AC10" sqref="AC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19" width="0" style="1" hidden="1" customWidth="1"/>
    <col min="20" max="22" width="9.140625" style="1"/>
    <col min="23" max="23" width="15.42578125" style="1" hidden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3" t="s">
        <v>176</v>
      </c>
      <c r="B2" s="163"/>
      <c r="C2" s="163"/>
      <c r="D2" s="163"/>
      <c r="E2" s="163"/>
      <c r="F2" s="163"/>
      <c r="G2" s="163"/>
      <c r="H2" s="163"/>
      <c r="I2" s="163"/>
      <c r="J2" s="16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43101</v>
      </c>
      <c r="K4" s="109"/>
      <c r="L4" s="109"/>
      <c r="M4" s="109"/>
      <c r="N4" s="109"/>
    </row>
    <row r="5" spans="1:18">
      <c r="A5" s="1" t="s">
        <v>1</v>
      </c>
      <c r="E5" s="116">
        <v>43465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09"/>
      <c r="L8" s="164"/>
      <c r="M8" s="109"/>
      <c r="N8" s="109"/>
      <c r="O8" s="70" t="s">
        <v>81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09"/>
      <c r="L9" s="164"/>
      <c r="M9" s="109"/>
      <c r="N9" s="109"/>
      <c r="O9" s="70" t="s">
        <v>82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365158.51</v>
      </c>
      <c r="K10" s="109"/>
      <c r="L10" s="164"/>
      <c r="M10" s="109"/>
      <c r="N10" s="109"/>
      <c r="O10" s="70" t="s">
        <v>83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839784.3899999999</v>
      </c>
      <c r="K11" s="109"/>
      <c r="L11" s="164"/>
      <c r="M11" s="109"/>
      <c r="N11" s="109"/>
      <c r="O11" s="70" t="s">
        <v>84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694517.19</v>
      </c>
      <c r="K12" s="109"/>
      <c r="L12" s="164"/>
      <c r="M12" s="109"/>
      <c r="N12" s="109"/>
      <c r="O12" s="70" t="s">
        <v>85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145267.20000000001</v>
      </c>
      <c r="K13" s="109"/>
      <c r="L13" s="164"/>
      <c r="M13" s="109"/>
      <c r="N13" s="109"/>
      <c r="O13" s="70" t="s">
        <v>86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09"/>
      <c r="L14" s="164"/>
      <c r="M14" s="109"/>
      <c r="N14" s="109"/>
      <c r="O14" s="70" t="s">
        <v>87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800137.99</v>
      </c>
      <c r="K15" s="109"/>
      <c r="L15" s="164"/>
      <c r="M15" s="109"/>
      <c r="N15" s="109"/>
      <c r="O15" s="70" t="s">
        <v>88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800137.99</v>
      </c>
      <c r="K16" s="109"/>
      <c r="L16" s="164"/>
      <c r="M16" s="109"/>
      <c r="N16" s="109"/>
      <c r="O16" s="70" t="s">
        <v>89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09"/>
      <c r="L17" s="164"/>
      <c r="M17" s="109"/>
      <c r="N17" s="109"/>
      <c r="O17" s="70" t="s">
        <v>90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09"/>
      <c r="L18" s="164"/>
      <c r="M18" s="109"/>
      <c r="N18" s="109"/>
      <c r="O18" s="70" t="s">
        <v>91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09"/>
      <c r="L19" s="164"/>
      <c r="M19" s="109"/>
      <c r="N19" s="109"/>
      <c r="O19" s="70" t="s">
        <v>92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09"/>
      <c r="L20" s="164"/>
      <c r="M20" s="109"/>
      <c r="N20" s="109"/>
      <c r="O20" s="70" t="s">
        <v>93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800137.99</v>
      </c>
      <c r="K21" s="109"/>
      <c r="L21" s="164"/>
      <c r="M21" s="109"/>
      <c r="N21" s="109"/>
      <c r="O21" s="70" t="s">
        <v>94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09"/>
      <c r="L22" s="164"/>
      <c r="M22" s="109"/>
      <c r="N22" s="109"/>
      <c r="O22" s="70" t="s">
        <v>95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09"/>
      <c r="L23" s="164"/>
      <c r="M23" s="109"/>
      <c r="N23" s="109"/>
      <c r="O23" s="70" t="s">
        <v>96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404804.90999999992</v>
      </c>
      <c r="K24" s="109"/>
      <c r="L24" s="16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09"/>
      <c r="L27" s="16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93590.46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09"/>
      <c r="L28" s="16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8" t="str">
        <f>ПТО!A40</f>
        <v>Работы по содержанию лифта (лифтов)</v>
      </c>
      <c r="B29" s="148"/>
      <c r="C29" s="148"/>
      <c r="D29" s="148"/>
      <c r="E29" s="148"/>
      <c r="F29" s="153">
        <f>VLOOKUP(A29,ПТО!$A$39:$D$53,2,FALSE)</f>
        <v>54103.08</v>
      </c>
      <c r="G29" s="153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09"/>
      <c r="L29" s="16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95497.44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09"/>
      <c r="L30" s="16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42846.720000000001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09"/>
      <c r="L31" s="16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09"/>
      <c r="L32" s="16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21060.27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09"/>
      <c r="L33" s="16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134349.96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09"/>
      <c r="L34" s="16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8" t="str">
        <f>ПТО!A46</f>
        <v>Работы (услуги) по управлению многоквартирным домом</v>
      </c>
      <c r="B35" s="148"/>
      <c r="C35" s="148"/>
      <c r="D35" s="148"/>
      <c r="E35" s="148"/>
      <c r="F35" s="153">
        <f>VLOOKUP(A35,ПТО!$A$39:$D$53,2,FALSE)</f>
        <v>181554</v>
      </c>
      <c r="G35" s="153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09"/>
      <c r="L35" s="165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48" t="str">
        <f>ПТО!A47</f>
        <v>Работы по обеспечению вывоза бытовых отходов</v>
      </c>
      <c r="B36" s="148"/>
      <c r="C36" s="148"/>
      <c r="D36" s="148"/>
      <c r="E36" s="148"/>
      <c r="F36" s="153">
        <f>VLOOKUP(A36,ПТО!$A$39:$D$53,2,FALSE)</f>
        <v>57461.85</v>
      </c>
      <c r="G36" s="153"/>
      <c r="H36" s="42" t="str">
        <f>VLOOKUP(A36,ПТО!$A$39:$D$53,3,FALSE)</f>
        <v>Ежедневно</v>
      </c>
      <c r="I36" s="149">
        <f>VLOOKUP(A36,ПТО!$A$39:$D$53,4,FALSE)</f>
        <v>12</v>
      </c>
      <c r="J36" s="149"/>
      <c r="K36" s="109"/>
      <c r="L36" s="165"/>
      <c r="M36" s="115"/>
      <c r="N36" s="109"/>
      <c r="O36" s="23" t="str">
        <f t="shared" si="1"/>
        <v>Работы по обеспечению вывоза бытовых отходов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09"/>
      <c r="L37" s="16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09"/>
      <c r="L38" s="16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09"/>
      <c r="L39" s="16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09"/>
      <c r="L40" s="16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09"/>
      <c r="L41" s="16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09"/>
      <c r="L42" s="16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53">
        <f>VLOOKUP(A43,ПТО!$A$2:$D$31,4,FALSE)</f>
        <v>8100</v>
      </c>
      <c r="G43" s="153"/>
      <c r="H43" s="19" t="str">
        <f>VLOOKUP(A43,ПТО!$A$2:$D$31,2,FALSE)</f>
        <v>ежегодно</v>
      </c>
      <c r="I43" s="149">
        <f>VLOOKUP(A43,ПТО!$A$2:$D$31,3,FALSE)</f>
        <v>1</v>
      </c>
      <c r="J43" s="149"/>
      <c r="K43" s="109"/>
      <c r="L43" s="165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8" t="str">
        <f>ПТО!A3</f>
        <v>Техническое обслуживание охранной сигнализации.</v>
      </c>
      <c r="B44" s="148"/>
      <c r="C44" s="148"/>
      <c r="D44" s="148"/>
      <c r="E44" s="148"/>
      <c r="F44" s="153">
        <f>VLOOKUP(A44,ПТО!$A$2:$D$31,4,FALSE)</f>
        <v>12000</v>
      </c>
      <c r="G44" s="153"/>
      <c r="H44" s="25" t="str">
        <f>VLOOKUP(A44,ПТО!$A$2:$D$31,2,FALSE)</f>
        <v>ежемесячно</v>
      </c>
      <c r="I44" s="149">
        <f>VLOOKUP(A44,ПТО!$A$2:$D$31,3,FALSE)</f>
        <v>12</v>
      </c>
      <c r="J44" s="149"/>
      <c r="K44" s="109"/>
      <c r="L44" s="165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48" t="str">
        <f>ПТО!A4</f>
        <v>Вывоз снега с придомовой территории.</v>
      </c>
      <c r="B45" s="148"/>
      <c r="C45" s="148"/>
      <c r="D45" s="148"/>
      <c r="E45" s="148"/>
      <c r="F45" s="153">
        <f>VLOOKUP(A45,ПТО!$A$2:$D$31,4,FALSE)</f>
        <v>12900</v>
      </c>
      <c r="G45" s="153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09"/>
      <c r="L45" s="165"/>
      <c r="M45" s="115"/>
      <c r="N45" s="109"/>
      <c r="O45" s="23" t="str">
        <f t="shared" si="1"/>
        <v>Вывоз снега с придомовой территории.</v>
      </c>
      <c r="R45" s="22" t="s">
        <v>72</v>
      </c>
    </row>
    <row r="46" spans="1:18" ht="51" hidden="1" customHeight="1" outlineLevel="1">
      <c r="A46" s="148">
        <f>ПТО!A5</f>
        <v>0</v>
      </c>
      <c r="B46" s="148"/>
      <c r="C46" s="148"/>
      <c r="D46" s="148"/>
      <c r="E46" s="148"/>
      <c r="F46" s="153" t="e">
        <f>VLOOKUP(A46,ПТО!$A$2:$D$31,4,FALSE)</f>
        <v>#N/A</v>
      </c>
      <c r="G46" s="153"/>
      <c r="H46" s="25" t="e">
        <f>VLOOKUP(A46,ПТО!$A$2:$D$31,2,FALSE)</f>
        <v>#N/A</v>
      </c>
      <c r="I46" s="149" t="e">
        <f>VLOOKUP(A46,ПТО!$A$2:$D$31,3,FALSE)</f>
        <v>#N/A</v>
      </c>
      <c r="J46" s="149"/>
      <c r="K46" s="109"/>
      <c r="L46" s="165"/>
      <c r="M46" s="115"/>
      <c r="N46" s="109"/>
      <c r="O46" s="23">
        <f t="shared" si="1"/>
        <v>0</v>
      </c>
      <c r="R46" s="22" t="s">
        <v>72</v>
      </c>
    </row>
    <row r="47" spans="1:18" ht="51" customHeight="1" outlineLevel="1">
      <c r="A47" s="148" t="str">
        <f>ПТО!A6</f>
        <v>Изготовление и монтаж козырька над подъездом.</v>
      </c>
      <c r="B47" s="148"/>
      <c r="C47" s="148"/>
      <c r="D47" s="148"/>
      <c r="E47" s="148"/>
      <c r="F47" s="153">
        <f>VLOOKUP(A47,ПТО!$A$2:$D$31,4,FALSE)</f>
        <v>13700</v>
      </c>
      <c r="G47" s="153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09"/>
      <c r="L47" s="165"/>
      <c r="M47" s="115"/>
      <c r="N47" s="109"/>
      <c r="O47" s="23" t="str">
        <f t="shared" si="1"/>
        <v>Изготовление и монтаж козырька над подъездом.</v>
      </c>
      <c r="R47" s="22" t="s">
        <v>72</v>
      </c>
    </row>
    <row r="48" spans="1:18" ht="51" customHeight="1" outlineLevel="1">
      <c r="A48" s="148" t="str">
        <f>ПТО!A7</f>
        <v>Приобретение и замена видеорегистратора.</v>
      </c>
      <c r="B48" s="148"/>
      <c r="C48" s="148"/>
      <c r="D48" s="148"/>
      <c r="E48" s="148"/>
      <c r="F48" s="153">
        <f>VLOOKUP(A48,ПТО!$A$2:$D$31,4,FALSE)</f>
        <v>5573.98</v>
      </c>
      <c r="G48" s="153"/>
      <c r="H48" s="25" t="str">
        <f>VLOOKUP(A48,ПТО!$A$2:$D$31,2,FALSE)</f>
        <v>разово</v>
      </c>
      <c r="I48" s="149">
        <f>VLOOKUP(A48,ПТО!$A$2:$D$31,3,FALSE)</f>
        <v>1</v>
      </c>
      <c r="J48" s="149"/>
      <c r="K48" s="109"/>
      <c r="L48" s="165"/>
      <c r="M48" s="115"/>
      <c r="N48" s="109"/>
      <c r="O48" s="23" t="str">
        <f t="shared" si="1"/>
        <v>Приобретение и замена видеорегистратора.</v>
      </c>
      <c r="R48" s="22" t="s">
        <v>72</v>
      </c>
    </row>
    <row r="49" spans="1:18" ht="51" customHeight="1" outlineLevel="1">
      <c r="A49" s="148" t="str">
        <f>ПТО!A8</f>
        <v>Установка розетки на 1 этаже.</v>
      </c>
      <c r="B49" s="148"/>
      <c r="C49" s="148"/>
      <c r="D49" s="148"/>
      <c r="E49" s="148"/>
      <c r="F49" s="153">
        <f>VLOOKUP(A49,ПТО!$A$2:$D$31,4,FALSE)</f>
        <v>600</v>
      </c>
      <c r="G49" s="153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09"/>
      <c r="L49" s="165"/>
      <c r="M49" s="115"/>
      <c r="N49" s="109"/>
      <c r="O49" s="23" t="str">
        <f t="shared" si="1"/>
        <v>Установка розетки на 1 этаже.</v>
      </c>
      <c r="R49" s="22" t="s">
        <v>72</v>
      </c>
    </row>
    <row r="50" spans="1:18" ht="51" customHeight="1" outlineLevel="1">
      <c r="A50" s="148" t="str">
        <f>ПТО!A9</f>
        <v>Замена манометров в ИТП.</v>
      </c>
      <c r="B50" s="148"/>
      <c r="C50" s="148"/>
      <c r="D50" s="148"/>
      <c r="E50" s="148"/>
      <c r="F50" s="153">
        <f>VLOOKUP(A50,ПТО!$A$2:$D$31,4,FALSE)</f>
        <v>2400</v>
      </c>
      <c r="G50" s="153"/>
      <c r="H50" s="25" t="str">
        <f>VLOOKUP(A50,ПТО!$A$2:$D$31,2,FALSE)</f>
        <v>разово</v>
      </c>
      <c r="I50" s="149">
        <f>VLOOKUP(A50,ПТО!$A$2:$D$31,3,FALSE)</f>
        <v>6</v>
      </c>
      <c r="J50" s="149"/>
      <c r="K50" s="109"/>
      <c r="L50" s="165"/>
      <c r="M50" s="115"/>
      <c r="N50" s="109"/>
      <c r="O50" s="23" t="str">
        <f t="shared" si="1"/>
        <v>Замена манометров в ИТП.</v>
      </c>
      <c r="R50" s="22" t="s">
        <v>72</v>
      </c>
    </row>
    <row r="51" spans="1:18" ht="51" customHeight="1" outlineLevel="1">
      <c r="A51" s="148" t="str">
        <f>ПТО!A10</f>
        <v>Замена термометров (спиртовые) в ИТП.</v>
      </c>
      <c r="B51" s="148"/>
      <c r="C51" s="148"/>
      <c r="D51" s="148"/>
      <c r="E51" s="148"/>
      <c r="F51" s="153">
        <f>VLOOKUP(A51,ПТО!$A$2:$D$31,4,FALSE)</f>
        <v>600</v>
      </c>
      <c r="G51" s="153"/>
      <c r="H51" s="25" t="str">
        <f>VLOOKUP(A51,ПТО!$A$2:$D$31,2,FALSE)</f>
        <v>разово</v>
      </c>
      <c r="I51" s="149">
        <f>VLOOKUP(A51,ПТО!$A$2:$D$31,3,FALSE)</f>
        <v>4</v>
      </c>
      <c r="J51" s="149"/>
      <c r="K51" s="109"/>
      <c r="L51" s="165"/>
      <c r="M51" s="115"/>
      <c r="N51" s="109"/>
      <c r="O51" s="23" t="str">
        <f t="shared" si="1"/>
        <v>Замена термометров (спиртовые) в ИТП.</v>
      </c>
      <c r="R51" s="22" t="s">
        <v>72</v>
      </c>
    </row>
    <row r="52" spans="1:18" ht="51" customHeight="1" outlineLevel="1">
      <c r="A52" s="148" t="str">
        <f>ПТО!A11</f>
        <v>Замена термометров (биометаллические) в ИТП.</v>
      </c>
      <c r="B52" s="148"/>
      <c r="C52" s="148"/>
      <c r="D52" s="148"/>
      <c r="E52" s="148"/>
      <c r="F52" s="153">
        <f>VLOOKUP(A52,ПТО!$A$2:$D$31,4,FALSE)</f>
        <v>2000</v>
      </c>
      <c r="G52" s="153"/>
      <c r="H52" s="25" t="str">
        <f>VLOOKUP(A52,ПТО!$A$2:$D$31,2,FALSE)</f>
        <v>разово</v>
      </c>
      <c r="I52" s="149">
        <f>VLOOKUP(A52,ПТО!$A$2:$D$31,3,FALSE)</f>
        <v>4</v>
      </c>
      <c r="J52" s="149"/>
      <c r="K52" s="109"/>
      <c r="L52" s="165"/>
      <c r="M52" s="115"/>
      <c r="N52" s="109"/>
      <c r="O52" s="23" t="str">
        <f t="shared" si="1"/>
        <v>Замена термометров (биометаллические) в ИТП.</v>
      </c>
      <c r="R52" s="22" t="s">
        <v>72</v>
      </c>
    </row>
    <row r="53" spans="1:18" ht="51" customHeight="1" outlineLevel="1">
      <c r="A53" s="148" t="str">
        <f>ПТО!A12</f>
        <v>Замена трехходовых кранов в ИТП.</v>
      </c>
      <c r="B53" s="148"/>
      <c r="C53" s="148"/>
      <c r="D53" s="148"/>
      <c r="E53" s="148"/>
      <c r="F53" s="153">
        <f>VLOOKUP(A53,ПТО!$A$2:$D$31,4,FALSE)</f>
        <v>1500</v>
      </c>
      <c r="G53" s="153"/>
      <c r="H53" s="25" t="str">
        <f>VLOOKUP(A53,ПТО!$A$2:$D$31,2,FALSE)</f>
        <v>разово</v>
      </c>
      <c r="I53" s="149">
        <f>VLOOKUP(A53,ПТО!$A$2:$D$31,3,FALSE)</f>
        <v>5</v>
      </c>
      <c r="J53" s="149"/>
      <c r="K53" s="109"/>
      <c r="L53" s="165"/>
      <c r="M53" s="115"/>
      <c r="N53" s="109"/>
      <c r="O53" s="23" t="str">
        <f t="shared" si="1"/>
        <v>Замена трехходовых кранов в ИТП.</v>
      </c>
      <c r="R53" s="22" t="s">
        <v>72</v>
      </c>
    </row>
    <row r="54" spans="1:18" ht="51" customHeight="1" outlineLevel="1">
      <c r="A54" s="148" t="str">
        <f>ПТО!A13</f>
        <v>Замена трансформаторов тока во ВРУ.</v>
      </c>
      <c r="B54" s="148"/>
      <c r="C54" s="148"/>
      <c r="D54" s="148"/>
      <c r="E54" s="148"/>
      <c r="F54" s="153">
        <f>VLOOKUP(A54,ПТО!$A$2:$D$31,4,FALSE)</f>
        <v>3922.41</v>
      </c>
      <c r="G54" s="153"/>
      <c r="H54" s="25" t="str">
        <f>VLOOKUP(A54,ПТО!$A$2:$D$31,2,FALSE)</f>
        <v>разово</v>
      </c>
      <c r="I54" s="149">
        <f>VLOOKUP(A54,ПТО!$A$2:$D$31,3,FALSE)</f>
        <v>1</v>
      </c>
      <c r="J54" s="149"/>
      <c r="K54" s="109"/>
      <c r="L54" s="165"/>
      <c r="M54" s="115"/>
      <c r="N54" s="109"/>
      <c r="O54" s="23" t="str">
        <f t="shared" si="1"/>
        <v>Замена трансформаторов тока во ВРУ.</v>
      </c>
      <c r="R54" s="22" t="s">
        <v>72</v>
      </c>
    </row>
    <row r="55" spans="1:18" ht="51" customHeight="1" outlineLevel="1">
      <c r="A55" s="148" t="str">
        <f>ПТО!A14</f>
        <v>Ремонт прибора учета тепловой энергии.</v>
      </c>
      <c r="B55" s="148"/>
      <c r="C55" s="148"/>
      <c r="D55" s="148"/>
      <c r="E55" s="148"/>
      <c r="F55" s="153">
        <f>VLOOKUP(A55,ПТО!$A$2:$D$31,4,FALSE)</f>
        <v>5664</v>
      </c>
      <c r="G55" s="153"/>
      <c r="H55" s="25" t="str">
        <f>VLOOKUP(A55,ПТО!$A$2:$D$31,2,FALSE)</f>
        <v>разово</v>
      </c>
      <c r="I55" s="149">
        <f>VLOOKUP(A55,ПТО!$A$2:$D$31,3,FALSE)</f>
        <v>1</v>
      </c>
      <c r="J55" s="149"/>
      <c r="K55" s="109"/>
      <c r="L55" s="165"/>
      <c r="M55" s="115"/>
      <c r="N55" s="109"/>
      <c r="O55" s="23" t="str">
        <f t="shared" si="1"/>
        <v>Ремонт прибора учета тепловой энергии.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09"/>
      <c r="L56" s="165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09"/>
      <c r="L57" s="165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09"/>
      <c r="L58" s="165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09"/>
      <c r="L59" s="165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09"/>
      <c r="L60" s="16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09"/>
      <c r="L61" s="16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09"/>
      <c r="L62" s="16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09"/>
      <c r="L63" s="16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09"/>
      <c r="L64" s="16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09"/>
      <c r="L65" s="16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09"/>
      <c r="L66" s="16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09"/>
      <c r="L67" s="16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09"/>
      <c r="L68" s="16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09"/>
      <c r="L69" s="16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09"/>
      <c r="L70" s="16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5"/>
      <c r="L71" s="16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09"/>
      <c r="L72" s="16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09"/>
      <c r="L75" s="168"/>
      <c r="M75" s="109"/>
      <c r="N75" s="109"/>
      <c r="O75" s="70" t="s">
        <v>98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09"/>
      <c r="L76" s="168"/>
      <c r="M76" s="109"/>
      <c r="N76" s="109"/>
      <c r="O76" s="70" t="s">
        <v>99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09"/>
      <c r="L77" s="168"/>
      <c r="M77" s="109"/>
      <c r="N77" s="109"/>
      <c r="O77" s="70" t="s">
        <v>100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09"/>
      <c r="L78" s="16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7">
        <f t="shared" ref="J81:J90" si="2">VLOOKUP(O81,АО,3,FALSE)</f>
        <v>0</v>
      </c>
      <c r="K81" s="109"/>
      <c r="L81" s="154"/>
      <c r="M81" s="109"/>
      <c r="N81" s="109"/>
      <c r="O81" s="70" t="s">
        <v>102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7">
        <f t="shared" si="2"/>
        <v>0</v>
      </c>
      <c r="K82" s="109"/>
      <c r="L82" s="154"/>
      <c r="M82" s="109"/>
      <c r="N82" s="109"/>
      <c r="O82" s="70" t="s">
        <v>103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7">
        <f t="shared" si="2"/>
        <v>349741.37</v>
      </c>
      <c r="K83" s="109"/>
      <c r="L83" s="154"/>
      <c r="M83" s="109"/>
      <c r="N83" s="109"/>
      <c r="O83" s="70" t="s">
        <v>104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7">
        <f t="shared" si="2"/>
        <v>0</v>
      </c>
      <c r="K84" s="109"/>
      <c r="L84" s="154"/>
      <c r="M84" s="109"/>
      <c r="N84" s="109"/>
      <c r="O84" s="70" t="s">
        <v>105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7">
        <f t="shared" si="2"/>
        <v>0</v>
      </c>
      <c r="K85" s="109"/>
      <c r="L85" s="154"/>
      <c r="M85" s="109"/>
      <c r="N85" s="109"/>
      <c r="O85" s="70" t="s">
        <v>106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7">
        <f t="shared" si="2"/>
        <v>359712.86</v>
      </c>
      <c r="K86" s="109"/>
      <c r="L86" s="154"/>
      <c r="M86" s="109"/>
      <c r="N86" s="109"/>
      <c r="O86" s="70" t="s">
        <v>107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09"/>
      <c r="L87" s="154"/>
      <c r="M87" s="109"/>
      <c r="N87" s="109"/>
      <c r="O87" s="70" t="s">
        <v>108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09"/>
      <c r="L88" s="154"/>
      <c r="M88" s="109"/>
      <c r="N88" s="109"/>
      <c r="O88" s="70" t="s">
        <v>109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09"/>
      <c r="L89" s="154"/>
      <c r="M89" s="109"/>
      <c r="N89" s="109"/>
      <c r="O89" s="70" t="s">
        <v>110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7">
        <f t="shared" si="2"/>
        <v>0</v>
      </c>
      <c r="K90" s="109"/>
      <c r="L90" s="154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09"/>
      <c r="L93" s="109"/>
      <c r="M93" s="109"/>
      <c r="N93" s="109"/>
    </row>
    <row r="94" spans="1:15" hidden="1" outlineLevel="1">
      <c r="A94" s="150">
        <f>IF(VLOOKUP("эл",АО,3,FALSE)&gt;0,"Электроснабжение",0)</f>
        <v>0</v>
      </c>
      <c r="B94" s="150"/>
      <c r="C94" s="150"/>
      <c r="D94" s="151">
        <f>IF(VLOOKUP("эл",АО,3,FALSE)&gt;0,VLOOKUP("эл",АО,3,FALSE),0)</f>
        <v>0</v>
      </c>
      <c r="E94" s="151"/>
      <c r="F94" s="13">
        <f>IF(VLOOKUP("эл",АО,3,FALSE)&gt;0,VLOOKUP("эл",АО,4,FALSE),0)</f>
        <v>0</v>
      </c>
      <c r="G94" s="152">
        <f>VLOOKUP("эл",АО,5,FALSE)</f>
        <v>0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hidden="1" outlineLevel="2">
      <c r="A95" s="167">
        <f>IF(VLOOKUP("эл",АО,3,FALSE)&gt;0,VLOOKUP("эл1",АО,2,FALSE),0)</f>
        <v>0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0</v>
      </c>
      <c r="L95" s="155"/>
      <c r="O95" s="1" t="s">
        <v>112</v>
      </c>
    </row>
    <row r="96" spans="1:15" hidden="1" outlineLevel="2">
      <c r="A96" s="167">
        <f>IF(VLOOKUP("эл",АО,3,FALSE)&gt;0,VLOOKUP("эл2",АО,2,FALSE),0)</f>
        <v>0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0</v>
      </c>
      <c r="L96" s="155"/>
      <c r="O96" s="1" t="s">
        <v>113</v>
      </c>
    </row>
    <row r="97" spans="1:15" hidden="1" outlineLevel="2">
      <c r="A97" s="167">
        <f>IF(VLOOKUP("эл",АО,3,FALSE)&gt;0,VLOOKUP("эл3",АО,2,FALSE),0)</f>
        <v>0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55"/>
      <c r="O97" s="1" t="s">
        <v>114</v>
      </c>
    </row>
    <row r="98" spans="1:15" ht="37.5" hidden="1" customHeight="1" outlineLevel="2">
      <c r="A98" s="167">
        <f>IF(VLOOKUP("эл",АО,3,FALSE)&gt;0,VLOOKUP("эл4",АО,2,FALSE),0)</f>
        <v>0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0</v>
      </c>
      <c r="L98" s="155"/>
      <c r="O98" s="1" t="s">
        <v>115</v>
      </c>
    </row>
    <row r="99" spans="1:15" hidden="1" outlineLevel="2">
      <c r="A99" s="167">
        <f>IF(VLOOKUP("эл",АО,3,FALSE)&gt;0,VLOOKUP("эл5",АО,2,FALSE),0)</f>
        <v>0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0</v>
      </c>
      <c r="L99" s="155"/>
      <c r="O99" s="1" t="s">
        <v>116</v>
      </c>
    </row>
    <row r="100" spans="1:15" ht="39" hidden="1" customHeight="1" outlineLevel="2">
      <c r="A100" s="167">
        <f>IF(VLOOKUP("эл",АО,3,FALSE)&gt;0,VLOOKUP("эл6",АО,2,FALSE),0)</f>
        <v>0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117</v>
      </c>
    </row>
    <row r="101" spans="1:15" ht="34.5" hidden="1" customHeight="1" outlineLevel="2">
      <c r="A101" s="167">
        <f>IF(VLOOKUP("эл",АО,3,FALSE)&gt;0,VLOOKUP("эл7",АО,2,FALSE),0)</f>
        <v>0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118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55625.89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4198.18</v>
      </c>
      <c r="L103" s="155"/>
      <c r="O103" s="1" t="s">
        <v>121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59029.15</v>
      </c>
      <c r="L104" s="155"/>
      <c r="O104" s="1" t="s">
        <v>122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0</v>
      </c>
      <c r="L105" s="155"/>
      <c r="O105" s="1" t="s">
        <v>123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55625.89</v>
      </c>
      <c r="L106" s="155"/>
      <c r="O106" s="1" t="s">
        <v>124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55625.89</v>
      </c>
      <c r="L107" s="155"/>
      <c r="O107" s="1" t="s">
        <v>125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126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127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91949.86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6166.99</v>
      </c>
      <c r="L111" s="155"/>
      <c r="O111" s="1" t="s">
        <v>129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98504.7</v>
      </c>
      <c r="L112" s="155"/>
      <c r="O112" s="1" t="s">
        <v>130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0</v>
      </c>
      <c r="L113" s="155"/>
      <c r="O113" s="1" t="s">
        <v>131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91949.86</v>
      </c>
      <c r="L114" s="155"/>
      <c r="O114" s="1" t="s">
        <v>132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91949.86</v>
      </c>
      <c r="L115" s="155"/>
      <c r="O115" s="1" t="s">
        <v>133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134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135</v>
      </c>
    </row>
    <row r="118" spans="1:15" ht="32.25" hidden="1" customHeight="1" outlineLevel="1">
      <c r="A118" s="150">
        <f>IF(VLOOKUP("тко",АО,3,FALSE)&gt;0,"Обращение с ТКО",0)</f>
        <v>0</v>
      </c>
      <c r="B118" s="150"/>
      <c r="C118" s="150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2">
        <f>VLOOKUP("тко",АО,5,FALSE)</f>
        <v>0</v>
      </c>
      <c r="H118" s="151"/>
      <c r="I118" s="151"/>
      <c r="J118" s="151"/>
      <c r="L118" s="47"/>
    </row>
    <row r="119" spans="1:15" ht="32.25" hidden="1" customHeight="1" outlineLevel="2">
      <c r="A119" s="146">
        <f t="shared" ref="A119:A125" si="8">IF(VLOOKUP("тко",АО,3,FALSE)&gt;0,VLOOKUP(O119,АО,2,FALSE),0)</f>
        <v>0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46">
        <f t="shared" si="8"/>
        <v>0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46">
        <f t="shared" si="8"/>
        <v>0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46">
        <f t="shared" si="8"/>
        <v>0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46">
        <f t="shared" si="8"/>
        <v>0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46">
        <f t="shared" si="8"/>
        <v>0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46">
        <f t="shared" si="8"/>
        <v>0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0">
        <f>IF(VLOOKUP("гвс",АО,3,FALSE)&gt;0,"Горячее водоснабжение",0)</f>
        <v>0</v>
      </c>
      <c r="B126" s="150"/>
      <c r="C126" s="150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2">
        <f>VLOOKUP("гвс",АО,5,FALSE)</f>
        <v>0</v>
      </c>
      <c r="H126" s="151"/>
      <c r="I126" s="151"/>
      <c r="J126" s="151"/>
      <c r="L126" s="47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7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0</v>
      </c>
      <c r="O144" t="s">
        <v>169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6" t="s">
        <v>172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0</v>
      </c>
      <c r="O146" t="s">
        <v>171</v>
      </c>
    </row>
    <row r="149" spans="1:15" ht="52.5" customHeight="1">
      <c r="A149" s="171" t="s">
        <v>177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43101</v>
      </c>
    </row>
    <row r="152" spans="1:15">
      <c r="A152" s="1" t="s">
        <v>1</v>
      </c>
      <c r="E152" s="3">
        <v>43465</v>
      </c>
    </row>
    <row r="154" spans="1:15" ht="39.75" customHeight="1">
      <c r="A154" s="173" t="s">
        <v>200</v>
      </c>
      <c r="B154" s="173"/>
      <c r="C154" s="173"/>
      <c r="D154" s="173"/>
      <c r="E154" s="27">
        <f>ПТО!G1</f>
        <v>-18430.419999999998</v>
      </c>
    </row>
    <row r="155" spans="1:15" ht="34.5" customHeight="1">
      <c r="A155" s="172" t="s">
        <v>210</v>
      </c>
      <c r="B155" s="172"/>
      <c r="C155" s="172"/>
      <c r="D155" s="172"/>
      <c r="E155" s="28">
        <f>J13</f>
        <v>145267.20000000001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8100</v>
      </c>
      <c r="G158" s="153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1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Техническое обслуживание охранной сигнализации.</v>
      </c>
      <c r="B159" s="148"/>
      <c r="C159" s="148"/>
      <c r="D159" s="148"/>
      <c r="E159" s="148"/>
      <c r="F159" s="153">
        <f t="shared" si="15"/>
        <v>12000</v>
      </c>
      <c r="G159" s="153"/>
      <c r="H159" s="24" t="str">
        <f t="shared" si="16"/>
        <v>ежемесячно</v>
      </c>
      <c r="I159" s="149">
        <f t="shared" si="17"/>
        <v>12</v>
      </c>
      <c r="J159" s="149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48" t="str">
        <f t="shared" si="14"/>
        <v>Вывоз снега с придомовой территории.</v>
      </c>
      <c r="B160" s="148"/>
      <c r="C160" s="148"/>
      <c r="D160" s="148"/>
      <c r="E160" s="148"/>
      <c r="F160" s="153">
        <f t="shared" si="15"/>
        <v>12900</v>
      </c>
      <c r="G160" s="153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Вывоз снега с придомовой территории.</v>
      </c>
    </row>
    <row r="161" spans="1:14" ht="28.5" hidden="1" customHeight="1">
      <c r="A161" s="148">
        <f>IF(N161&gt;0,N161,0)</f>
        <v>0</v>
      </c>
      <c r="B161" s="148"/>
      <c r="C161" s="148"/>
      <c r="D161" s="148"/>
      <c r="E161" s="148"/>
      <c r="F161" s="153">
        <f t="shared" si="15"/>
        <v>0</v>
      </c>
      <c r="G161" s="153"/>
      <c r="H161" s="24" t="e">
        <f t="shared" si="16"/>
        <v>#N/A</v>
      </c>
      <c r="I161" s="149" t="e">
        <f t="shared" si="17"/>
        <v>#N/A</v>
      </c>
      <c r="J161" s="149"/>
      <c r="M161" s="22" t="s">
        <v>72</v>
      </c>
      <c r="N161" s="1">
        <v>0</v>
      </c>
    </row>
    <row r="162" spans="1:14" ht="28.5" customHeight="1">
      <c r="A162" s="148" t="str">
        <f t="shared" si="14"/>
        <v>Изготовление и монтаж козырька над подъездом.</v>
      </c>
      <c r="B162" s="148"/>
      <c r="C162" s="148"/>
      <c r="D162" s="148"/>
      <c r="E162" s="148"/>
      <c r="F162" s="153">
        <f t="shared" si="15"/>
        <v>13700</v>
      </c>
      <c r="G162" s="153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Изготовление и монтаж козырька над подъездом.</v>
      </c>
    </row>
    <row r="163" spans="1:14" ht="28.5" customHeight="1">
      <c r="A163" s="148" t="str">
        <f t="shared" si="14"/>
        <v>Приобретение и замена видеорегистратора.</v>
      </c>
      <c r="B163" s="148"/>
      <c r="C163" s="148"/>
      <c r="D163" s="148"/>
      <c r="E163" s="148"/>
      <c r="F163" s="153">
        <f t="shared" si="15"/>
        <v>5573.98</v>
      </c>
      <c r="G163" s="153"/>
      <c r="H163" s="24" t="str">
        <f t="shared" si="16"/>
        <v>разово</v>
      </c>
      <c r="I163" s="149">
        <f>VLOOKUP(A163,$A$28:$J$72,9,FALSE)</f>
        <v>1</v>
      </c>
      <c r="J163" s="149"/>
      <c r="M163" s="22" t="s">
        <v>72</v>
      </c>
      <c r="N163" s="1" t="str">
        <v>Приобретение и замена видеорегистратора.</v>
      </c>
    </row>
    <row r="164" spans="1:14" ht="28.5" customHeight="1">
      <c r="A164" s="148" t="str">
        <f t="shared" ref="A164:A187" si="18">IF(N164&gt;0,N164,0)</f>
        <v>Установка розетки на 1 этаже.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600</v>
      </c>
      <c r="G164" s="153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72</v>
      </c>
      <c r="N164" s="1" t="str">
        <v>Установка розетки на 1 этаже.</v>
      </c>
    </row>
    <row r="165" spans="1:14" ht="28.5" customHeight="1">
      <c r="A165" s="148" t="str">
        <f t="shared" si="18"/>
        <v>Замена манометров в ИТП.</v>
      </c>
      <c r="B165" s="148"/>
      <c r="C165" s="148"/>
      <c r="D165" s="148"/>
      <c r="E165" s="148"/>
      <c r="F165" s="153">
        <f t="shared" si="19"/>
        <v>2400</v>
      </c>
      <c r="G165" s="153"/>
      <c r="H165" s="29" t="str">
        <f t="shared" si="16"/>
        <v>разово</v>
      </c>
      <c r="I165" s="149">
        <f t="shared" si="20"/>
        <v>6</v>
      </c>
      <c r="J165" s="149"/>
      <c r="M165" s="22" t="s">
        <v>72</v>
      </c>
      <c r="N165" s="1" t="str">
        <v>Замена манометров в ИТП.</v>
      </c>
    </row>
    <row r="166" spans="1:14" ht="28.5" customHeight="1">
      <c r="A166" s="148" t="str">
        <f t="shared" si="18"/>
        <v>Замена термометров (спиртовые) в ИТП.</v>
      </c>
      <c r="B166" s="148"/>
      <c r="C166" s="148"/>
      <c r="D166" s="148"/>
      <c r="E166" s="148"/>
      <c r="F166" s="153">
        <f t="shared" si="19"/>
        <v>600</v>
      </c>
      <c r="G166" s="153"/>
      <c r="H166" s="29" t="str">
        <f t="shared" si="16"/>
        <v>разово</v>
      </c>
      <c r="I166" s="149">
        <f t="shared" si="20"/>
        <v>4</v>
      </c>
      <c r="J166" s="149"/>
      <c r="M166" s="22" t="s">
        <v>72</v>
      </c>
      <c r="N166" s="1" t="str">
        <v>Замена термометров (спиртовые) в ИТП.</v>
      </c>
    </row>
    <row r="167" spans="1:14" ht="28.5" customHeight="1">
      <c r="A167" s="148" t="str">
        <f t="shared" si="18"/>
        <v>Замена термометров (биометаллические) в ИТП.</v>
      </c>
      <c r="B167" s="148"/>
      <c r="C167" s="148"/>
      <c r="D167" s="148"/>
      <c r="E167" s="148"/>
      <c r="F167" s="153">
        <f t="shared" si="19"/>
        <v>2000</v>
      </c>
      <c r="G167" s="153"/>
      <c r="H167" s="29" t="str">
        <f t="shared" si="16"/>
        <v>разово</v>
      </c>
      <c r="I167" s="149">
        <f t="shared" si="20"/>
        <v>4</v>
      </c>
      <c r="J167" s="149"/>
      <c r="M167" s="22" t="s">
        <v>72</v>
      </c>
      <c r="N167" s="1" t="str">
        <v>Замена термометров (биометаллические) в ИТП.</v>
      </c>
    </row>
    <row r="168" spans="1:14" ht="28.5" customHeight="1">
      <c r="A168" s="148" t="str">
        <f t="shared" si="18"/>
        <v>Замена трехходовых кранов в ИТП.</v>
      </c>
      <c r="B168" s="148"/>
      <c r="C168" s="148"/>
      <c r="D168" s="148"/>
      <c r="E168" s="148"/>
      <c r="F168" s="153">
        <f t="shared" si="19"/>
        <v>1500</v>
      </c>
      <c r="G168" s="153"/>
      <c r="H168" s="29" t="str">
        <f t="shared" si="16"/>
        <v>разово</v>
      </c>
      <c r="I168" s="149">
        <f t="shared" si="20"/>
        <v>5</v>
      </c>
      <c r="J168" s="149"/>
      <c r="M168" s="22" t="s">
        <v>72</v>
      </c>
      <c r="N168" s="1" t="str">
        <v>Замена трехходовых кранов в ИТП.</v>
      </c>
    </row>
    <row r="169" spans="1:14" ht="28.5" customHeight="1">
      <c r="A169" s="148" t="str">
        <f t="shared" si="18"/>
        <v>Замена трансформаторов тока во ВРУ.</v>
      </c>
      <c r="B169" s="148"/>
      <c r="C169" s="148"/>
      <c r="D169" s="148"/>
      <c r="E169" s="148"/>
      <c r="F169" s="153">
        <f t="shared" si="19"/>
        <v>3922.41</v>
      </c>
      <c r="G169" s="153"/>
      <c r="H169" s="29" t="str">
        <f t="shared" si="16"/>
        <v>разово</v>
      </c>
      <c r="I169" s="149">
        <f t="shared" si="20"/>
        <v>1</v>
      </c>
      <c r="J169" s="149"/>
      <c r="M169" s="22" t="s">
        <v>72</v>
      </c>
      <c r="N169" s="1" t="str">
        <v>Замена трансформаторов тока во ВРУ.</v>
      </c>
    </row>
    <row r="170" spans="1:14" ht="28.5" customHeight="1">
      <c r="A170" s="148" t="str">
        <f t="shared" si="18"/>
        <v>Ремонт прибора учета тепловой энергии.</v>
      </c>
      <c r="B170" s="148"/>
      <c r="C170" s="148"/>
      <c r="D170" s="148"/>
      <c r="E170" s="148"/>
      <c r="F170" s="153">
        <f t="shared" si="19"/>
        <v>5664</v>
      </c>
      <c r="G170" s="153"/>
      <c r="H170" s="29" t="str">
        <f t="shared" si="16"/>
        <v>разово</v>
      </c>
      <c r="I170" s="149">
        <f t="shared" si="20"/>
        <v>1</v>
      </c>
      <c r="J170" s="149"/>
      <c r="M170" s="22" t="s">
        <v>72</v>
      </c>
      <c r="N170" s="1" t="str">
        <v>Ремонт прибора учета тепловой энергии.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53">
        <f t="shared" si="19"/>
        <v>0</v>
      </c>
      <c r="G171" s="153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53">
        <f t="shared" si="19"/>
        <v>0</v>
      </c>
      <c r="G172" s="153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53">
        <f t="shared" si="19"/>
        <v>0</v>
      </c>
      <c r="G173" s="153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53">
        <f t="shared" si="19"/>
        <v>0</v>
      </c>
      <c r="G174" s="153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53">
        <f t="shared" si="19"/>
        <v>0</v>
      </c>
      <c r="G175" s="153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53">
        <f t="shared" si="19"/>
        <v>0</v>
      </c>
      <c r="G176" s="153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53">
        <f t="shared" si="19"/>
        <v>0</v>
      </c>
      <c r="G177" s="153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53">
        <f t="shared" si="19"/>
        <v>0</v>
      </c>
      <c r="G178" s="153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3" t="s">
        <v>184</v>
      </c>
      <c r="B190" s="173"/>
      <c r="C190" s="173"/>
      <c r="D190" s="173"/>
      <c r="E190" s="27">
        <f>SUM(F158:G187)</f>
        <v>68960.39</v>
      </c>
    </row>
    <row r="191" spans="1:14" ht="51.75" customHeight="1">
      <c r="A191" s="173" t="s">
        <v>185</v>
      </c>
      <c r="B191" s="173"/>
      <c r="C191" s="173"/>
      <c r="D191" s="173"/>
      <c r="E191" s="27">
        <f>E190+E154-E155</f>
        <v>-94737.23000000001</v>
      </c>
    </row>
    <row r="192" spans="1:14">
      <c r="A192" s="104" t="s">
        <v>173</v>
      </c>
    </row>
    <row r="193" spans="1:10" ht="62.25" customHeight="1">
      <c r="A193" s="147" t="s">
        <v>186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>
      <c r="A194" s="145" t="str">
        <f>ПТО!F18</f>
        <v xml:space="preserve"> - техническое освидетельствование лифта</v>
      </c>
      <c r="B194" s="145"/>
      <c r="C194" s="145"/>
      <c r="D194" s="145"/>
      <c r="E194" s="145"/>
      <c r="F194" s="145"/>
      <c r="G194" s="145"/>
      <c r="H194" s="49">
        <f>ПТО!G18</f>
        <v>8100</v>
      </c>
      <c r="I194" s="50" t="s">
        <v>74</v>
      </c>
    </row>
    <row r="195" spans="1:10" ht="18.75" customHeight="1">
      <c r="A195" s="145" t="str">
        <f>ПТО!F19</f>
        <v xml:space="preserve"> - тех. обслуживание охранной сигнализации</v>
      </c>
      <c r="B195" s="145"/>
      <c r="C195" s="145"/>
      <c r="D195" s="145"/>
      <c r="E195" s="145"/>
      <c r="F195" s="145"/>
      <c r="G195" s="145"/>
      <c r="H195" s="49">
        <f>ПТО!G19</f>
        <v>12000</v>
      </c>
      <c r="I195" s="50" t="s">
        <v>74</v>
      </c>
    </row>
    <row r="196" spans="1:10" ht="18.75" customHeight="1">
      <c r="A196" s="145" t="str">
        <f>ПТО!F20</f>
        <v xml:space="preserve"> - поверка (замена) манометров и термометров</v>
      </c>
      <c r="B196" s="145"/>
      <c r="C196" s="145"/>
      <c r="D196" s="145"/>
      <c r="E196" s="145"/>
      <c r="F196" s="145"/>
      <c r="G196" s="145"/>
      <c r="H196" s="49">
        <f>ПТО!G20</f>
        <v>1200</v>
      </c>
      <c r="I196" s="50" t="s">
        <v>74</v>
      </c>
    </row>
    <row r="197" spans="1:10" ht="18.75" customHeight="1">
      <c r="A197" s="145" t="str">
        <f>ПТО!F21</f>
        <v xml:space="preserve"> - работы по выбору (решению) общего собрания или совета дома</v>
      </c>
      <c r="B197" s="145"/>
      <c r="C197" s="145"/>
      <c r="D197" s="145"/>
      <c r="E197" s="145"/>
      <c r="F197" s="145"/>
      <c r="G197" s="145"/>
      <c r="H197" s="49">
        <f>ПТО!G21</f>
        <v>217700</v>
      </c>
      <c r="I197" s="50" t="s">
        <v>74</v>
      </c>
    </row>
    <row r="198" spans="1:10" ht="18.75" hidden="1" customHeight="1">
      <c r="A198" s="145">
        <f>ПТО!F22</f>
        <v>0</v>
      </c>
      <c r="B198" s="145"/>
      <c r="C198" s="145"/>
      <c r="D198" s="145"/>
      <c r="E198" s="145"/>
      <c r="F198" s="145"/>
      <c r="G198" s="145"/>
      <c r="H198" s="49">
        <f>ПТО!G22</f>
        <v>0</v>
      </c>
      <c r="I198" s="52" t="s">
        <v>74</v>
      </c>
    </row>
    <row r="199" spans="1:10" ht="18.75" hidden="1" customHeight="1">
      <c r="A199" s="145">
        <f>ПТО!F23</f>
        <v>0</v>
      </c>
      <c r="B199" s="145"/>
      <c r="C199" s="145"/>
      <c r="D199" s="145"/>
      <c r="E199" s="145"/>
      <c r="F199" s="145"/>
      <c r="G199" s="145"/>
      <c r="H199" s="49">
        <f>ПТО!G23</f>
        <v>0</v>
      </c>
      <c r="I199" s="50" t="s">
        <v>74</v>
      </c>
    </row>
    <row r="200" spans="1:10" hidden="1">
      <c r="A200" s="145">
        <f>ПТО!F24</f>
        <v>0</v>
      </c>
      <c r="B200" s="145"/>
      <c r="C200" s="145"/>
      <c r="D200" s="145"/>
      <c r="E200" s="145"/>
      <c r="F200" s="145"/>
      <c r="G200" s="145"/>
      <c r="H200" s="49">
        <f>ПТО!G24</f>
        <v>0</v>
      </c>
      <c r="I200" s="50" t="s">
        <v>74</v>
      </c>
    </row>
    <row r="201" spans="1:10" hidden="1">
      <c r="A201" s="145">
        <f>ПТО!F25</f>
        <v>0</v>
      </c>
      <c r="B201" s="145"/>
      <c r="C201" s="145"/>
      <c r="D201" s="145"/>
      <c r="E201" s="145"/>
      <c r="F201" s="145"/>
      <c r="G201" s="145"/>
      <c r="H201" s="49">
        <f>ПТО!G25</f>
        <v>0</v>
      </c>
      <c r="I201" s="50" t="s">
        <v>74</v>
      </c>
    </row>
    <row r="202" spans="1:10" hidden="1">
      <c r="A202" s="145">
        <f>ПТО!F26</f>
        <v>0</v>
      </c>
      <c r="B202" s="145"/>
      <c r="C202" s="145"/>
      <c r="D202" s="145"/>
      <c r="E202" s="145"/>
      <c r="F202" s="145"/>
      <c r="G202" s="145"/>
      <c r="H202" s="49">
        <f>ПТО!G26</f>
        <v>0</v>
      </c>
      <c r="I202" s="50" t="s">
        <v>74</v>
      </c>
    </row>
    <row r="203" spans="1:10" hidden="1">
      <c r="A203" s="145">
        <f>ПТО!F27</f>
        <v>0</v>
      </c>
      <c r="B203" s="145"/>
      <c r="C203" s="145"/>
      <c r="D203" s="145"/>
      <c r="E203" s="145"/>
      <c r="F203" s="145"/>
      <c r="G203" s="145"/>
      <c r="H203" s="49">
        <f>ПТО!G27</f>
        <v>0</v>
      </c>
      <c r="I203" s="50" t="s">
        <v>74</v>
      </c>
    </row>
    <row r="204" spans="1:10" hidden="1">
      <c r="A204" s="145">
        <f>ПТО!F28</f>
        <v>0</v>
      </c>
      <c r="B204" s="145"/>
      <c r="C204" s="145"/>
      <c r="D204" s="145"/>
      <c r="E204" s="145"/>
      <c r="F204" s="145"/>
      <c r="G204" s="145"/>
      <c r="H204" s="49">
        <f>ПТО!G28</f>
        <v>0</v>
      </c>
      <c r="I204" s="50" t="s">
        <v>74</v>
      </c>
    </row>
    <row r="205" spans="1:10" hidden="1">
      <c r="A205" s="145">
        <f>ПТО!F29</f>
        <v>0</v>
      </c>
      <c r="B205" s="145"/>
      <c r="C205" s="145"/>
      <c r="D205" s="145"/>
      <c r="E205" s="145"/>
      <c r="F205" s="145"/>
      <c r="G205" s="145"/>
      <c r="H205" s="49">
        <f>ПТО!G29</f>
        <v>0</v>
      </c>
      <c r="I205" s="50" t="s">
        <v>74</v>
      </c>
    </row>
    <row r="206" spans="1:10" hidden="1">
      <c r="A206" s="145">
        <f>ПТО!F30</f>
        <v>0</v>
      </c>
      <c r="B206" s="145"/>
      <c r="C206" s="145"/>
      <c r="D206" s="145"/>
      <c r="E206" s="145"/>
      <c r="F206" s="145"/>
      <c r="G206" s="145"/>
      <c r="H206" s="49">
        <f>ПТО!G30</f>
        <v>0</v>
      </c>
      <c r="I206" s="50" t="s">
        <v>74</v>
      </c>
    </row>
    <row r="207" spans="1:10" hidden="1">
      <c r="A207" s="145">
        <f>ПТО!F31</f>
        <v>0</v>
      </c>
      <c r="B207" s="145"/>
      <c r="C207" s="145"/>
      <c r="D207" s="145"/>
      <c r="E207" s="145"/>
      <c r="F207" s="145"/>
      <c r="G207" s="145"/>
      <c r="H207" s="49">
        <f>ПТО!G31</f>
        <v>0</v>
      </c>
      <c r="I207" s="50" t="s">
        <v>74</v>
      </c>
    </row>
    <row r="208" spans="1:10" hidden="1">
      <c r="A208" s="145">
        <f>ПТО!F32</f>
        <v>0</v>
      </c>
      <c r="B208" s="145"/>
      <c r="C208" s="145"/>
      <c r="D208" s="145"/>
      <c r="E208" s="145"/>
      <c r="F208" s="145"/>
      <c r="G208" s="145"/>
      <c r="H208" s="49">
        <f>ПТО!G32</f>
        <v>0</v>
      </c>
      <c r="I208" s="50" t="s">
        <v>74</v>
      </c>
    </row>
    <row r="209" spans="1:9" hidden="1">
      <c r="A209" s="145">
        <f>ПТО!F33</f>
        <v>0</v>
      </c>
      <c r="B209" s="145"/>
      <c r="C209" s="145"/>
      <c r="D209" s="145"/>
      <c r="E209" s="145"/>
      <c r="F209" s="145"/>
      <c r="G209" s="145"/>
      <c r="H209" s="49">
        <f>ПТО!G33</f>
        <v>0</v>
      </c>
      <c r="I209" s="50" t="s">
        <v>74</v>
      </c>
    </row>
    <row r="210" spans="1:9" hidden="1">
      <c r="A210" s="145">
        <f>ПТО!F34</f>
        <v>0</v>
      </c>
      <c r="B210" s="145"/>
      <c r="C210" s="145"/>
      <c r="D210" s="145"/>
      <c r="E210" s="145"/>
      <c r="F210" s="145"/>
      <c r="G210" s="145"/>
      <c r="H210" s="49">
        <f>ПТО!G34</f>
        <v>0</v>
      </c>
      <c r="I210" s="50" t="s">
        <v>74</v>
      </c>
    </row>
    <row r="211" spans="1:9" hidden="1">
      <c r="A211" s="145">
        <f>ПТО!F35</f>
        <v>0</v>
      </c>
      <c r="B211" s="145"/>
      <c r="C211" s="145"/>
      <c r="D211" s="145"/>
      <c r="E211" s="145"/>
      <c r="F211" s="145"/>
      <c r="G211" s="145"/>
      <c r="H211" s="49">
        <f>ПТО!G35</f>
        <v>0</v>
      </c>
      <c r="I211" s="50" t="s">
        <v>74</v>
      </c>
    </row>
    <row r="212" spans="1:9" hidden="1">
      <c r="A212" s="145">
        <f>ПТО!F36</f>
        <v>0</v>
      </c>
      <c r="B212" s="145"/>
      <c r="C212" s="145"/>
      <c r="D212" s="145"/>
      <c r="E212" s="145"/>
      <c r="F212" s="145"/>
      <c r="G212" s="145"/>
      <c r="H212" s="49">
        <f>ПТО!G36</f>
        <v>0</v>
      </c>
      <c r="I212" s="50" t="s">
        <v>74</v>
      </c>
    </row>
    <row r="213" spans="1:9" hidden="1">
      <c r="A213" s="145">
        <f>ПТО!F37</f>
        <v>0</v>
      </c>
      <c r="B213" s="145"/>
      <c r="C213" s="145"/>
      <c r="D213" s="145"/>
      <c r="E213" s="145"/>
      <c r="F213" s="145"/>
      <c r="G213" s="145"/>
      <c r="H213" s="49">
        <f>ПТО!G37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239000</v>
      </c>
      <c r="I214" s="56" t="s">
        <v>76</v>
      </c>
    </row>
  </sheetData>
  <sheetProtection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5" sqref="F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200</v>
      </c>
      <c r="G1" s="101">
        <f>-18430.42</f>
        <v>-18430.419999999998</v>
      </c>
    </row>
    <row r="2" spans="1:12" ht="18.75" customHeight="1">
      <c r="A2" s="126" t="s">
        <v>73</v>
      </c>
      <c r="B2" s="119" t="s">
        <v>180</v>
      </c>
      <c r="C2" s="133">
        <v>1</v>
      </c>
      <c r="D2" s="140">
        <v>8100</v>
      </c>
      <c r="E2"/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178</v>
      </c>
      <c r="B3" s="119" t="s">
        <v>181</v>
      </c>
      <c r="C3" s="133">
        <v>12</v>
      </c>
      <c r="D3" s="141">
        <f>1000*12</f>
        <v>12000</v>
      </c>
      <c r="E3"/>
      <c r="F3" s="30"/>
      <c r="G3" s="30"/>
      <c r="L3" s="33" t="str">
        <f t="shared" si="0"/>
        <v>ТР</v>
      </c>
    </row>
    <row r="4" spans="1:12" ht="18.75" customHeight="1">
      <c r="A4" s="124" t="s">
        <v>179</v>
      </c>
      <c r="B4" s="117" t="s">
        <v>182</v>
      </c>
      <c r="C4" s="134">
        <v>1</v>
      </c>
      <c r="D4" s="141">
        <v>12900</v>
      </c>
      <c r="E4" t="s">
        <v>207</v>
      </c>
      <c r="F4" s="30"/>
      <c r="G4" s="30"/>
      <c r="L4" s="33" t="str">
        <f t="shared" si="0"/>
        <v>ТР</v>
      </c>
    </row>
    <row r="5" spans="1:12" ht="18.75" customHeight="1">
      <c r="A5" s="124"/>
      <c r="B5" s="117"/>
      <c r="C5" s="135"/>
      <c r="D5" s="142"/>
      <c r="E5" s="121"/>
      <c r="F5" s="44"/>
      <c r="G5" s="44"/>
      <c r="K5" s="46"/>
      <c r="L5" s="33">
        <f t="shared" si="0"/>
        <v>0</v>
      </c>
    </row>
    <row r="6" spans="1:12" ht="18.75" customHeight="1">
      <c r="A6" s="129" t="s">
        <v>191</v>
      </c>
      <c r="B6" s="117" t="s">
        <v>182</v>
      </c>
      <c r="C6" s="136">
        <v>1</v>
      </c>
      <c r="D6" s="142">
        <v>13700</v>
      </c>
      <c r="E6" s="121" t="s">
        <v>201</v>
      </c>
      <c r="F6" s="44"/>
      <c r="G6" s="44"/>
      <c r="K6" s="46"/>
      <c r="L6" s="33" t="str">
        <f t="shared" si="0"/>
        <v>ТР</v>
      </c>
    </row>
    <row r="7" spans="1:12" ht="18.75" customHeight="1">
      <c r="A7" s="129" t="s">
        <v>192</v>
      </c>
      <c r="B7" s="117" t="s">
        <v>182</v>
      </c>
      <c r="C7" s="137">
        <v>1</v>
      </c>
      <c r="D7" s="140">
        <v>5573.98</v>
      </c>
      <c r="E7" s="121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30" t="s">
        <v>193</v>
      </c>
      <c r="B8" s="118" t="s">
        <v>182</v>
      </c>
      <c r="C8" s="138">
        <v>1</v>
      </c>
      <c r="D8" s="143">
        <v>600</v>
      </c>
      <c r="E8" s="144" t="s">
        <v>203</v>
      </c>
      <c r="F8" s="45"/>
      <c r="G8" s="45"/>
      <c r="K8" s="43"/>
      <c r="L8" s="33" t="str">
        <f t="shared" si="0"/>
        <v>ТР</v>
      </c>
    </row>
    <row r="9" spans="1:12">
      <c r="A9" s="131" t="s">
        <v>194</v>
      </c>
      <c r="B9" s="120" t="s">
        <v>182</v>
      </c>
      <c r="C9" s="122">
        <v>6</v>
      </c>
      <c r="D9" s="141">
        <v>2400</v>
      </c>
      <c r="E9" s="121" t="s">
        <v>204</v>
      </c>
      <c r="F9" s="44"/>
      <c r="G9" s="44"/>
      <c r="K9" s="43"/>
      <c r="L9" s="33" t="str">
        <f t="shared" si="0"/>
        <v>ТР</v>
      </c>
    </row>
    <row r="10" spans="1:12">
      <c r="A10" s="132" t="s">
        <v>195</v>
      </c>
      <c r="B10" s="120" t="s">
        <v>182</v>
      </c>
      <c r="C10" s="122">
        <v>4</v>
      </c>
      <c r="D10" s="142">
        <v>600</v>
      </c>
      <c r="E10" s="121" t="s">
        <v>204</v>
      </c>
      <c r="F10" s="123"/>
      <c r="L10" s="33" t="str">
        <f t="shared" si="0"/>
        <v>ТР</v>
      </c>
    </row>
    <row r="11" spans="1:12">
      <c r="A11" s="132" t="s">
        <v>196</v>
      </c>
      <c r="B11" s="120" t="s">
        <v>182</v>
      </c>
      <c r="C11" s="122">
        <v>4</v>
      </c>
      <c r="D11" s="142">
        <v>2000</v>
      </c>
      <c r="E11" s="121" t="s">
        <v>204</v>
      </c>
      <c r="L11" s="33" t="str">
        <f t="shared" si="0"/>
        <v>ТР</v>
      </c>
    </row>
    <row r="12" spans="1:12">
      <c r="A12" s="124" t="s">
        <v>197</v>
      </c>
      <c r="B12" s="120" t="s">
        <v>182</v>
      </c>
      <c r="C12" s="139">
        <v>5</v>
      </c>
      <c r="D12" s="140">
        <v>1500</v>
      </c>
      <c r="E12" s="121" t="s">
        <v>204</v>
      </c>
      <c r="L12" s="33" t="str">
        <f t="shared" si="0"/>
        <v>ТР</v>
      </c>
    </row>
    <row r="13" spans="1:12">
      <c r="A13" s="124" t="s">
        <v>198</v>
      </c>
      <c r="B13" s="120" t="s">
        <v>182</v>
      </c>
      <c r="C13" s="139">
        <v>1</v>
      </c>
      <c r="D13" s="140">
        <v>3922.41</v>
      </c>
      <c r="E13" s="121" t="s">
        <v>205</v>
      </c>
      <c r="L13" s="33" t="str">
        <f t="shared" si="0"/>
        <v>ТР</v>
      </c>
    </row>
    <row r="14" spans="1:12">
      <c r="A14" s="124" t="s">
        <v>199</v>
      </c>
      <c r="B14" s="120" t="s">
        <v>182</v>
      </c>
      <c r="C14" s="139">
        <v>1</v>
      </c>
      <c r="D14" s="140">
        <f>1180+4484</f>
        <v>5664</v>
      </c>
      <c r="E14" s="121" t="s">
        <v>206</v>
      </c>
      <c r="L14" s="33" t="str">
        <f t="shared" si="0"/>
        <v>ТР</v>
      </c>
    </row>
    <row r="15" spans="1:12">
      <c r="A15" s="30"/>
      <c r="L15" s="33">
        <f t="shared" si="0"/>
        <v>0</v>
      </c>
    </row>
    <row r="16" spans="1:12" ht="15.75">
      <c r="A16" s="30"/>
      <c r="F16" s="112"/>
      <c r="G16" s="113"/>
      <c r="L16" s="33">
        <f t="shared" si="0"/>
        <v>0</v>
      </c>
    </row>
    <row r="17" spans="1:12" ht="94.5">
      <c r="A17" s="30"/>
      <c r="F17" s="111" t="s">
        <v>186</v>
      </c>
      <c r="G17" s="111"/>
      <c r="L17" s="33">
        <f t="shared" si="0"/>
        <v>0</v>
      </c>
    </row>
    <row r="18" spans="1:12">
      <c r="A18" s="30"/>
      <c r="F18" s="125" t="s">
        <v>187</v>
      </c>
      <c r="G18" s="127">
        <v>8100</v>
      </c>
      <c r="L18" s="33">
        <f t="shared" si="0"/>
        <v>0</v>
      </c>
    </row>
    <row r="19" spans="1:12">
      <c r="A19" s="30"/>
      <c r="F19" s="125" t="s">
        <v>188</v>
      </c>
      <c r="G19" s="127">
        <v>12000</v>
      </c>
      <c r="L19" s="33">
        <f t="shared" si="0"/>
        <v>0</v>
      </c>
    </row>
    <row r="20" spans="1:12">
      <c r="A20" s="30"/>
      <c r="F20" s="125" t="s">
        <v>189</v>
      </c>
      <c r="G20" s="127">
        <v>1200</v>
      </c>
      <c r="L20" s="33">
        <f t="shared" si="0"/>
        <v>0</v>
      </c>
    </row>
    <row r="21" spans="1:12">
      <c r="F21" s="125" t="s">
        <v>190</v>
      </c>
      <c r="G21" s="128">
        <v>217700</v>
      </c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93590.46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93590.46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54103.08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54103.08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95497.44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95497.44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42846.720000000001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42846.720000000001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21060.27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21060.27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134349.96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134349.96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175</v>
      </c>
      <c r="B46" s="38">
        <v>181554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181554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208</v>
      </c>
      <c r="B47" s="38">
        <v>57461.85</v>
      </c>
      <c r="C47" s="38" t="s">
        <v>209</v>
      </c>
      <c r="D47" s="48">
        <v>12</v>
      </c>
      <c r="L47" s="40" t="str">
        <f t="shared" si="2"/>
        <v>СОД</v>
      </c>
      <c r="M47" t="str">
        <f t="shared" si="3"/>
        <v>Работы по обеспечению вывоза бытовых отходов</v>
      </c>
      <c r="N47" s="41">
        <f t="shared" si="4"/>
        <v>57461.85</v>
      </c>
      <c r="O47" s="41" t="str">
        <f t="shared" si="5"/>
        <v>Ежедневно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3" zoomScale="85" zoomScaleNormal="85" workbookViewId="0">
      <selection activeCell="F5" sqref="F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3026.4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365158.51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839784.3899999999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694517.19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F1*4*12</f>
        <v>145267.20000000001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800137.99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800137.99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800137.99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404804.90999999992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5"/>
      <c r="N26" s="63"/>
    </row>
    <row r="27" spans="1:15" ht="18.75" customHeight="1">
      <c r="A27" s="70" t="s">
        <v>104</v>
      </c>
      <c r="B27" s="75" t="s">
        <v>4</v>
      </c>
      <c r="C27" s="86">
        <v>349741.37</v>
      </c>
      <c r="D27" s="81" t="s">
        <v>60</v>
      </c>
      <c r="E27" s="64"/>
      <c r="F27" s="64"/>
      <c r="G27" s="64"/>
      <c r="H27" s="64"/>
      <c r="I27" s="64"/>
      <c r="J27" s="64"/>
      <c r="M27" s="17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5"/>
      <c r="N29" s="63"/>
    </row>
    <row r="30" spans="1:15" ht="18.75" customHeight="1">
      <c r="A30" s="70" t="s">
        <v>107</v>
      </c>
      <c r="B30" s="75" t="s">
        <v>18</v>
      </c>
      <c r="C30" s="86">
        <v>359712.86</v>
      </c>
      <c r="D30" s="81" t="s">
        <v>66</v>
      </c>
      <c r="E30" s="64"/>
      <c r="F30" s="64"/>
      <c r="G30" s="64"/>
      <c r="H30" s="64"/>
      <c r="I30" s="64"/>
      <c r="J30" s="64"/>
      <c r="M30" s="17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74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74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7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7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7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4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55625.89</v>
      </c>
      <c r="F45" s="94" t="s">
        <v>166</v>
      </c>
      <c r="G45" s="66"/>
      <c r="H45" s="66"/>
      <c r="L45" s="63"/>
      <c r="M45" s="174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4198.18</v>
      </c>
      <c r="D46" s="94" t="s">
        <v>167</v>
      </c>
      <c r="E46" s="68"/>
      <c r="G46" s="67"/>
      <c r="H46" s="67"/>
      <c r="L46" s="63"/>
      <c r="M46" s="174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59029.15</v>
      </c>
      <c r="D47" s="94" t="s">
        <v>165</v>
      </c>
      <c r="E47" s="68"/>
      <c r="G47" s="67"/>
      <c r="H47" s="67"/>
      <c r="L47" s="63"/>
      <c r="M47" s="17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55625.89</v>
      </c>
      <c r="D49" s="80" t="s">
        <v>59</v>
      </c>
      <c r="E49" s="68"/>
      <c r="G49" s="67"/>
      <c r="H49" s="67"/>
      <c r="L49" s="63"/>
      <c r="M49" s="17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55625.89</v>
      </c>
      <c r="D50" s="80" t="s">
        <v>59</v>
      </c>
      <c r="E50" s="68"/>
      <c r="G50" s="67"/>
      <c r="H50" s="67"/>
      <c r="L50" s="63"/>
      <c r="M50" s="17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4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91949.86</v>
      </c>
      <c r="F53" s="94" t="s">
        <v>166</v>
      </c>
      <c r="G53" s="66"/>
      <c r="H53" s="66"/>
      <c r="L53" s="63"/>
      <c r="M53" s="174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6166.99</v>
      </c>
      <c r="D54" s="94" t="s">
        <v>167</v>
      </c>
      <c r="E54" s="69"/>
      <c r="F54" s="89"/>
      <c r="G54" s="64"/>
      <c r="H54" s="64"/>
      <c r="L54" s="63"/>
      <c r="M54" s="174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98504.7</v>
      </c>
      <c r="D55" s="94" t="s">
        <v>165</v>
      </c>
      <c r="E55" s="69"/>
      <c r="G55" s="64"/>
      <c r="H55" s="64"/>
      <c r="L55" s="63"/>
      <c r="M55" s="17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91949.86</v>
      </c>
      <c r="D57" s="80" t="s">
        <v>59</v>
      </c>
      <c r="E57" s="69"/>
      <c r="G57" s="64"/>
      <c r="H57" s="64"/>
      <c r="L57" s="63"/>
      <c r="M57" s="17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91949.86</v>
      </c>
      <c r="D58" s="80" t="s">
        <v>59</v>
      </c>
      <c r="E58" s="69"/>
      <c r="G58" s="64"/>
      <c r="H58" s="64"/>
      <c r="L58" s="63"/>
      <c r="M58" s="17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5" sqref="F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2020-07-14T02:47:22Z</dcterms:modified>
</cp:coreProperties>
</file>